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6u0lHQLFzJZkS7/UNKAEq5ivp3aCTei0r7jPaRPVPLJzJVzPWuBt/KJGzc9i7i7OIwNt/pqFOOYDHbJclzVBg==" workbookSaltValue="U/AoGcmLZX/cyeYFjjVp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I32" i="20"/>
  <c r="AE32" i="20"/>
  <c r="G14" i="14"/>
  <c r="W32" i="20"/>
  <c r="AJ32" i="20"/>
  <c r="G30" i="14"/>
  <c r="G23" i="14"/>
  <c r="U18" i="11"/>
  <c r="AX32" i="20"/>
  <c r="Y32" i="20"/>
  <c r="L32" i="20"/>
  <c r="AG32" i="20"/>
  <c r="H32" i="20"/>
  <c r="T32" i="21"/>
  <c r="F32" i="20"/>
  <c r="AF32" i="20"/>
  <c r="G26" i="14"/>
  <c r="S32" i="20"/>
  <c r="K32" i="20"/>
  <c r="AQ32" i="21"/>
  <c r="O17" i="11"/>
  <c r="E32" i="20"/>
  <c r="AI32" i="20"/>
  <c r="AM32" i="20"/>
  <c r="U10" i="11"/>
  <c r="J32" i="20"/>
  <c r="Q32" i="20"/>
  <c r="AK32" i="20"/>
  <c r="U12" i="11"/>
  <c r="AU32" i="20"/>
  <c r="AZ32" i="20"/>
  <c r="O18" i="11"/>
  <c r="R32" i="20"/>
  <c r="BF17" i="8" l="1"/>
  <c r="T31" i="8"/>
  <c r="J25" i="2"/>
  <c r="F25" i="2"/>
  <c r="AL21" i="11"/>
  <c r="L17" i="14"/>
  <c r="R13" i="17"/>
  <c r="P13" i="14"/>
  <c r="R13" i="14" s="1"/>
  <c r="BG17" i="13"/>
  <c r="S13" i="14"/>
  <c r="V13" i="14" s="1"/>
  <c r="R11" i="14"/>
  <c r="T12" i="11"/>
  <c r="R8" i="9"/>
  <c r="BH30" i="16"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O32" i="20"/>
  <c r="X32" i="20"/>
  <c r="AA32" i="20"/>
  <c r="AN32" i="20"/>
  <c r="AD32" i="20"/>
  <c r="AC32" i="20"/>
  <c r="AV32" i="20"/>
  <c r="O10" i="11"/>
  <c r="AP32" i="20"/>
  <c r="U17" i="11"/>
  <c r="W32" i="21"/>
  <c r="AQ32" i="20"/>
  <c r="N32" i="20"/>
  <c r="AL32" i="20"/>
  <c r="AH32" i="20"/>
  <c r="T32" i="20"/>
  <c r="K17" i="12" l="1"/>
  <c r="K16" i="12"/>
  <c r="R22" i="14"/>
  <c r="S18" i="14"/>
  <c r="V18"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17"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28" i="2"/>
  <c r="X21" i="20"/>
  <c r="L16" i="2"/>
  <c r="L18" i="2"/>
  <c r="AA11" i="16"/>
  <c r="L9" i="2"/>
  <c r="V25" i="16"/>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AV32" i="17"/>
  <c r="U32" i="17"/>
  <c r="Q32" i="16"/>
  <c r="L32" i="16"/>
  <c r="BS32" i="16"/>
  <c r="AA32" i="17"/>
  <c r="AB32" i="21"/>
  <c r="P32" i="11"/>
  <c r="AS32" i="21"/>
  <c r="AR32" i="17"/>
  <c r="AA32" i="11"/>
  <c r="AO32" i="21"/>
  <c r="AE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21"/>
  <c r="AO32" i="11"/>
  <c r="X32" i="11"/>
  <c r="AW32" i="21"/>
  <c r="AZ32" i="16"/>
  <c r="AS32" i="16"/>
  <c r="M32" i="17"/>
  <c r="Z32" i="16"/>
  <c r="V32" i="17"/>
  <c r="AN32" i="17"/>
  <c r="AU32" i="16"/>
  <c r="BC32" i="21"/>
  <c r="L32" i="11"/>
  <c r="O32" i="17"/>
  <c r="H32" i="12"/>
  <c r="V32" i="11"/>
  <c r="X32" i="17"/>
  <c r="BD32" i="21"/>
  <c r="S32" i="16"/>
  <c r="H32" i="16"/>
  <c r="X32" i="21"/>
  <c r="Y32" i="11"/>
  <c r="AC32" i="11"/>
  <c r="AB32" i="16"/>
  <c r="AG32" i="11"/>
  <c r="AM32" i="17"/>
  <c r="N32" i="21"/>
  <c r="AD32" i="21"/>
  <c r="K32" i="21"/>
  <c r="AF32" i="17"/>
  <c r="AY32" i="16"/>
  <c r="AY32" i="21"/>
  <c r="S32" i="21"/>
  <c r="AW32" i="17"/>
  <c r="L32" i="21"/>
  <c r="AF32" i="11"/>
  <c r="AK32" i="16"/>
  <c r="AL32" i="17"/>
  <c r="I32" i="21"/>
  <c r="U32" i="11"/>
  <c r="BF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<sst xmlns="http://schemas.openxmlformats.org/spreadsheetml/2006/main" count="2682" uniqueCount="1193">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</sst>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3NXkNGQTcTRtzQ4ILP3Qx34rIvpsZUlt9AshLhaXayfK49xau8yuSFw8iwjYazZg/lHmhzG51U55FsGZm52w==" saltValue="SzZNPB5TKCW/pXpH0SiI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28.311475409836063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103</v>
      </c>
      <c r="D17" s="239">
        <f>IF(ISNUMBER(IF(D_I="SI",Datos!I17,Datos!I17+Datos!AC17)),IF(D_I="SI",Datos!I17,Datos!I17+Datos!AC17)," - ")</f>
        <v>103</v>
      </c>
      <c r="E17" s="240">
        <f>IF(ISNUMBER(IF(D_I="SI",Datos!J17,Datos!J17+Datos!AD17)),IF(D_I="SI",Datos!J17,Datos!J17+Datos!AD17)," - ")</f>
        <v>263</v>
      </c>
      <c r="F17" s="240">
        <f>IF(ISNUMBER(IF(D_I="SI",Datos!K17,Datos!K17+Datos!AE17)),IF(D_I="SI",Datos!K17,Datos!K17+Datos!AE17)," - ")</f>
        <v>224</v>
      </c>
      <c r="G17" s="1390" t="str">
        <f>IF(Datos!E17&lt;&gt;"",Datos!E17,Datos!D17)</f>
        <v>04</v>
      </c>
      <c r="H17" s="241">
        <f>IF(ISNUMBER(IF(D_I="SI",Datos!L17,Datos!L17+Datos!AF17)),IF(D_I="SI",Datos!L17,Datos!L17+Datos!AF17)," - ")</f>
        <v>142</v>
      </c>
      <c r="I17" s="1400" t="str">
        <f>IF(ISNUMBER(Datos!AS17/Datos!BM17),Datos!AS17/Datos!BM17," - ")</f>
        <v xml:space="preserve"> - </v>
      </c>
      <c r="J17" s="1401">
        <f>IF(ISNUMBER(Datos!BY17/Datos!CN17),Datos!BY17/Datos!CN17," - ")</f>
        <v>0</v>
      </c>
      <c r="K17" s="244">
        <f t="shared" si="3"/>
        <v>0.37864077669902912</v>
      </c>
      <c r="L17" s="1402">
        <f>IF(ISNUMBER(NºAsuntos!I17/NºAsuntos!G17),(NºAsuntos!I17/NºAsuntos!G17)*11," - ")</f>
        <v>6.9732142857142856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18</v>
      </c>
      <c r="F18" s="240">
        <f>IF(ISNUMBER(IF(D_I="SI",Datos!K18,Datos!K18+Datos!AE18)),IF(D_I="SI",Datos!K18,Datos!K18+Datos!AE18)," - ")</f>
        <v>17</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7.1176470588235299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113</v>
      </c>
      <c r="D23" s="1407">
        <f>SUBTOTAL(9,D16:D22)</f>
        <v>113</v>
      </c>
      <c r="E23" s="1408">
        <f>SUBTOTAL(9,E16:E22)</f>
        <v>281</v>
      </c>
      <c r="F23" s="1408">
        <f>SUBTOTAL(9,F16:F22)</f>
        <v>241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v>
      </c>
      <c r="D31" s="1435">
        <f>SUBTOTAL(9,D9:D30)</f>
        <v>116</v>
      </c>
      <c r="E31" s="1436">
        <f>SUBTOTAL(9,E9:E30)</f>
        <v>282</v>
      </c>
      <c r="F31" s="1436">
        <f>SUBTOTAL(9,F9:F30)</f>
        <v>242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gPv+p/kOk4hADs9112ZIU6GqR7V/xcSSW5ZOxX3YmfoDVpqs92lDeLNlknQCUj+VCdLyT4m7sZFteLBd6wkeQ==" saltValue="ceU68MdCmsVLGtWoYmT6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RGfKfHWW+jvJB47bCfkRBTnk5uJCsH+aEbGBaiDzXITI4NFOfMmZQc2FyuR5yKHbHGh58lAFr13bnqfqrSWuA==" saltValue="/s/p6WmshmUAVFkaiNk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1</v>
      </c>
      <c r="L10" s="194">
        <v>3</v>
      </c>
      <c r="M10" s="194">
        <v>0</v>
      </c>
      <c r="N10" s="194">
        <v>1</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v>
      </c>
      <c r="J12" s="196">
        <v>169</v>
      </c>
      <c r="K12" s="196">
        <v>115</v>
      </c>
      <c r="L12" s="196">
        <v>305</v>
      </c>
      <c r="M12" s="196">
        <v>23</v>
      </c>
      <c r="N12" s="196">
        <v>37</v>
      </c>
      <c r="O12" s="194">
        <v>59</v>
      </c>
      <c r="P12" s="196">
        <v>36</v>
      </c>
      <c r="Q12" s="196">
        <v>47</v>
      </c>
      <c r="R12" s="196">
        <v>176</v>
      </c>
      <c r="S12" s="196">
        <v>247</v>
      </c>
      <c r="T12" s="196">
        <v>116</v>
      </c>
      <c r="U12" s="196">
        <v>133</v>
      </c>
      <c r="V12" s="196">
        <v>230</v>
      </c>
      <c r="W12" s="196">
        <v>37</v>
      </c>
      <c r="X12" s="202">
        <v>35</v>
      </c>
      <c r="Y12" s="204">
        <v>3</v>
      </c>
      <c r="Z12" s="194">
        <v>13</v>
      </c>
      <c r="AA12" s="194">
        <v>7</v>
      </c>
      <c r="AB12" s="194">
        <v>9</v>
      </c>
      <c r="AC12" s="196">
        <v>0</v>
      </c>
      <c r="AD12" s="196">
        <v>0</v>
      </c>
      <c r="AE12" s="196">
        <v>0</v>
      </c>
      <c r="AF12" s="202">
        <v>0</v>
      </c>
      <c r="AG12" s="215">
        <v>2</v>
      </c>
      <c r="AH12" s="196">
        <v>18</v>
      </c>
      <c r="AI12" s="196">
        <v>16</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249</v>
      </c>
      <c r="AZ12" s="137">
        <f t="shared" si="1"/>
        <v>134</v>
      </c>
      <c r="BA12" s="137">
        <f t="shared" si="1"/>
        <v>149</v>
      </c>
      <c r="BB12" s="137">
        <f t="shared" si="1"/>
        <v>234</v>
      </c>
      <c r="BC12" s="135">
        <f>IF(ISNUMBER(X12),X12," - ")</f>
        <v>35</v>
      </c>
      <c r="BD12" s="136">
        <f t="shared" si="2"/>
        <v>1.1119402985074627</v>
      </c>
      <c r="BE12" s="137">
        <f t="shared" si="3"/>
        <v>1.5704697986577181</v>
      </c>
      <c r="BF12" s="137">
        <f t="shared" si="4"/>
        <v>0.2348993288590604</v>
      </c>
      <c r="BG12" s="209">
        <f t="shared" si="5"/>
        <v>2.5704697986577183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v>
      </c>
      <c r="J14" s="197">
        <f t="shared" si="7"/>
        <v>170</v>
      </c>
      <c r="K14" s="197">
        <f t="shared" si="7"/>
        <v>116</v>
      </c>
      <c r="L14" s="197">
        <f t="shared" si="7"/>
        <v>308</v>
      </c>
      <c r="M14" s="197">
        <f t="shared" si="7"/>
        <v>23</v>
      </c>
      <c r="N14" s="197">
        <f t="shared" si="7"/>
        <v>38</v>
      </c>
      <c r="O14" s="197">
        <f t="shared" si="7"/>
        <v>59</v>
      </c>
      <c r="P14" s="197">
        <f t="shared" si="7"/>
        <v>36</v>
      </c>
      <c r="Q14" s="197">
        <f t="shared" si="7"/>
        <v>47</v>
      </c>
      <c r="R14" s="197">
        <f t="shared" si="7"/>
        <v>176</v>
      </c>
      <c r="S14" s="197">
        <f t="shared" si="7"/>
        <v>248</v>
      </c>
      <c r="T14" s="197">
        <f t="shared" si="7"/>
        <v>117</v>
      </c>
      <c r="U14" s="197">
        <f t="shared" si="7"/>
        <v>134</v>
      </c>
      <c r="V14" s="197">
        <f t="shared" si="7"/>
        <v>231</v>
      </c>
      <c r="W14" s="197">
        <f t="shared" si="7"/>
        <v>37</v>
      </c>
      <c r="X14" s="197">
        <f t="shared" si="7"/>
        <v>35</v>
      </c>
      <c r="Y14" s="197">
        <f t="shared" si="7"/>
        <v>3</v>
      </c>
      <c r="Z14" s="197">
        <f t="shared" si="7"/>
        <v>13</v>
      </c>
      <c r="AA14" s="197">
        <f t="shared" si="7"/>
        <v>7</v>
      </c>
      <c r="AB14" s="197">
        <f t="shared" si="7"/>
        <v>9</v>
      </c>
      <c r="AC14" s="197">
        <f t="shared" si="7"/>
        <v>0</v>
      </c>
      <c r="AD14" s="197">
        <f t="shared" si="7"/>
        <v>0</v>
      </c>
      <c r="AE14" s="197">
        <f t="shared" si="7"/>
        <v>0</v>
      </c>
      <c r="AF14" s="197">
        <f>SUBTOTAL(9,AF9:AF13)</f>
        <v>0</v>
      </c>
      <c r="AG14" s="197">
        <f t="shared" ref="AG14:AT14" si="8">SUBTOTAL(9,AG8:AG13)</f>
        <v>2</v>
      </c>
      <c r="AH14" s="197">
        <f t="shared" si="8"/>
        <v>18</v>
      </c>
      <c r="AI14" s="197">
        <f t="shared" si="8"/>
        <v>16</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250</v>
      </c>
      <c r="AZ14" s="197">
        <f>SUBTOTAL(9,AZ8:AZ13)</f>
        <v>135</v>
      </c>
      <c r="BA14" s="197">
        <f>SUBTOTAL(9,BA8:BA13)</f>
        <v>150</v>
      </c>
      <c r="BB14" s="197">
        <f>SUBTOTAL(9,BB8:BB13)</f>
        <v>235</v>
      </c>
      <c r="BC14" s="197">
        <f>SUBTOTAL(9,BC8:BC13)</f>
        <v>35</v>
      </c>
      <c r="BD14" s="219">
        <f>IF(ISNUMBER(BA14/AZ14),BA14/AZ14," - ")</f>
        <v>1.1111111111111112</v>
      </c>
      <c r="BE14" s="220">
        <f>IF(ISNUMBER(BB14/BA14),BB14/BA14, " - ")</f>
        <v>1.5666666666666667</v>
      </c>
      <c r="BF14" s="220">
        <f>IF(ISNUMBER(BC14/BA14),BC14/BA14, " - ")</f>
        <v>0.23333333333333334</v>
      </c>
      <c r="BG14" s="221">
        <f>IF(ISNUMBER((AY14+AZ14)/BA14),(AY14+AZ14)/BA14," - ")</f>
        <v>2.5666666666666669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v>
      </c>
      <c r="J17" s="196">
        <v>263</v>
      </c>
      <c r="K17" s="196">
        <v>224</v>
      </c>
      <c r="L17" s="196">
        <v>142</v>
      </c>
      <c r="M17" s="196">
        <v>32</v>
      </c>
      <c r="N17" s="196">
        <v>163</v>
      </c>
      <c r="O17" s="194">
        <v>0</v>
      </c>
      <c r="P17" s="196">
        <v>8</v>
      </c>
      <c r="Q17" s="196">
        <v>7</v>
      </c>
      <c r="R17" s="196">
        <v>31</v>
      </c>
      <c r="S17" s="196">
        <v>103</v>
      </c>
      <c r="T17" s="196">
        <v>225</v>
      </c>
      <c r="U17" s="196">
        <v>219</v>
      </c>
      <c r="V17" s="196">
        <v>110</v>
      </c>
      <c r="W17" s="196">
        <v>37</v>
      </c>
      <c r="X17" s="202">
        <v>156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103</v>
      </c>
      <c r="AZ17" s="137">
        <f t="shared" si="10"/>
        <v>225</v>
      </c>
      <c r="BA17" s="137">
        <f t="shared" si="10"/>
        <v>219</v>
      </c>
      <c r="BB17" s="137">
        <f t="shared" si="10"/>
        <v>110</v>
      </c>
      <c r="BC17" s="135">
        <f>IF(ISNUMBER(W17),W17," - ")</f>
        <v>37</v>
      </c>
      <c r="BD17" s="136">
        <f t="shared" ref="BD17:BD22" si="12">IF(ISNUMBER(BA17/AZ17),BA17/AZ17," - ")</f>
        <v>0.97333333333333338</v>
      </c>
      <c r="BE17" s="137">
        <f t="shared" ref="BE17:BE22" si="13">IF(ISNUMBER(BB17/BA17),BB17/BA17, " - ")</f>
        <v>0.50228310502283102</v>
      </c>
      <c r="BF17" s="137">
        <f t="shared" ref="BF17:BF22" si="14">IF(ISNUMBER(BC17/BA17),BC17/BA17, " - ")</f>
        <v>0.16894977168949771</v>
      </c>
      <c r="BG17" s="209">
        <f t="shared" si="11"/>
        <v>1.4977168949771689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18</v>
      </c>
      <c r="K18" s="196">
        <v>17</v>
      </c>
      <c r="L18" s="196">
        <v>11</v>
      </c>
      <c r="M18" s="196">
        <v>2</v>
      </c>
      <c r="N18" s="196">
        <v>11</v>
      </c>
      <c r="O18" s="196">
        <v>0</v>
      </c>
      <c r="P18" s="196">
        <v>0</v>
      </c>
      <c r="Q18" s="196">
        <v>1</v>
      </c>
      <c r="R18" s="196">
        <v>2</v>
      </c>
      <c r="S18" s="196">
        <v>4</v>
      </c>
      <c r="T18" s="196">
        <v>10</v>
      </c>
      <c r="U18" s="196">
        <v>9</v>
      </c>
      <c r="V18" s="196">
        <v>5</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10</v>
      </c>
      <c r="BA18" s="139">
        <f t="shared" si="15"/>
        <v>9</v>
      </c>
      <c r="BB18" s="139">
        <f t="shared" si="15"/>
        <v>5</v>
      </c>
      <c r="BC18" s="135">
        <f>IF(ISNUMBER(W18),W18," - ")</f>
        <v>3</v>
      </c>
      <c r="BD18" s="136">
        <f>IF(ISNUMBER(BA18/AZ18),BA18/AZ18," - ")</f>
        <v>0.9</v>
      </c>
      <c r="BE18" s="137">
        <f>IF(ISNUMBER(BB18/BA18),BB18/BA18, " - ")</f>
        <v>0.55555555555555558</v>
      </c>
      <c r="BF18" s="137">
        <f>IF(ISNUMBER(BC18/BA18),BC18/BA18, " - ")</f>
        <v>0.33333333333333331</v>
      </c>
      <c r="BG18" s="209">
        <f>IF(ISNUMBER((AY18+AZ18)/BA18),(AY18+AZ18)/BA18," - ")</f>
        <v>1.5555555555555556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v>
      </c>
      <c r="J23" s="197">
        <f t="shared" si="21"/>
        <v>281</v>
      </c>
      <c r="K23" s="197">
        <f t="shared" si="21"/>
        <v>241</v>
      </c>
      <c r="L23" s="197">
        <f t="shared" si="21"/>
        <v>153</v>
      </c>
      <c r="M23" s="197">
        <f t="shared" si="21"/>
        <v>34</v>
      </c>
      <c r="N23" s="197">
        <f t="shared" si="21"/>
        <v>174</v>
      </c>
      <c r="O23" s="197">
        <f t="shared" si="21"/>
        <v>0</v>
      </c>
      <c r="P23" s="197">
        <f t="shared" si="21"/>
        <v>8</v>
      </c>
      <c r="Q23" s="197">
        <f t="shared" si="21"/>
        <v>8</v>
      </c>
      <c r="R23" s="197">
        <f t="shared" si="21"/>
        <v>33</v>
      </c>
      <c r="S23" s="197">
        <f t="shared" si="21"/>
        <v>107</v>
      </c>
      <c r="T23" s="197">
        <f t="shared" si="21"/>
        <v>235</v>
      </c>
      <c r="U23" s="197">
        <f t="shared" si="21"/>
        <v>228</v>
      </c>
      <c r="V23" s="197">
        <f t="shared" si="21"/>
        <v>115</v>
      </c>
      <c r="W23" s="197">
        <f t="shared" si="21"/>
        <v>40</v>
      </c>
      <c r="X23" s="197">
        <f t="shared" si="21"/>
        <v>162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107</v>
      </c>
      <c r="AZ23" s="197">
        <f>SUBTOTAL(9,AZ15:AZ22)</f>
        <v>235</v>
      </c>
      <c r="BA23" s="197">
        <f>SUBTOTAL(9,BA15:BA22)</f>
        <v>228</v>
      </c>
      <c r="BB23" s="197">
        <f>SUBTOTAL(9,BB15:BB22)</f>
        <v>115</v>
      </c>
      <c r="BC23" s="197">
        <f>SUBTOTAL(9,BC15:BC22)</f>
        <v>40</v>
      </c>
      <c r="BD23" s="219">
        <f>IF(ISNUMBER(BA23/AZ23),BA23/AZ23," - ")</f>
        <v>0.97021276595744677</v>
      </c>
      <c r="BE23" s="220">
        <f>IF(ISNUMBER(BB23/BA23),BB23/BA23, " - ")</f>
        <v>0.50438596491228072</v>
      </c>
      <c r="BF23" s="220">
        <f>IF(ISNUMBER(BC23/BA23),BC23/BA23, " - ")</f>
        <v>0.17543859649122806</v>
      </c>
      <c r="BG23" s="221">
        <f>IF(ISNUMBER((AY23+AZ23)/BA23),(AY23+AZ23)/BA23," - ")</f>
        <v>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367</v>
      </c>
      <c r="J31" s="144">
        <f t="shared" si="36"/>
        <v>451</v>
      </c>
      <c r="K31" s="144">
        <f t="shared" si="36"/>
        <v>357</v>
      </c>
      <c r="L31" s="144">
        <f t="shared" si="36"/>
        <v>461</v>
      </c>
      <c r="M31" s="144">
        <f t="shared" si="36"/>
        <v>57</v>
      </c>
      <c r="N31" s="144">
        <f t="shared" si="36"/>
        <v>212</v>
      </c>
      <c r="O31" s="144">
        <f t="shared" si="36"/>
        <v>59</v>
      </c>
      <c r="P31" s="144">
        <f t="shared" si="36"/>
        <v>44</v>
      </c>
      <c r="Q31" s="144">
        <f t="shared" si="36"/>
        <v>55</v>
      </c>
      <c r="R31" s="144">
        <f t="shared" si="36"/>
        <v>209</v>
      </c>
      <c r="S31" s="144">
        <f t="shared" si="36"/>
        <v>355</v>
      </c>
      <c r="T31" s="144">
        <f t="shared" si="36"/>
        <v>352</v>
      </c>
      <c r="U31" s="144">
        <f t="shared" si="36"/>
        <v>362</v>
      </c>
      <c r="V31" s="144">
        <f t="shared" si="36"/>
        <v>346</v>
      </c>
      <c r="W31" s="144">
        <f t="shared" si="36"/>
        <v>77</v>
      </c>
      <c r="X31" s="144">
        <f t="shared" si="36"/>
        <v>197</v>
      </c>
      <c r="Y31" s="144">
        <f t="shared" si="36"/>
        <v>3</v>
      </c>
      <c r="Z31" s="144">
        <f t="shared" si="36"/>
        <v>13</v>
      </c>
      <c r="AA31" s="144">
        <f t="shared" si="36"/>
        <v>7</v>
      </c>
      <c r="AB31" s="144">
        <f t="shared" si="36"/>
        <v>9</v>
      </c>
      <c r="AC31" s="144">
        <f t="shared" si="36"/>
        <v>0</v>
      </c>
      <c r="AD31" s="144">
        <f t="shared" si="36"/>
        <v>0</v>
      </c>
      <c r="AE31" s="144">
        <f t="shared" si="36"/>
        <v>0</v>
      </c>
      <c r="AF31" s="144">
        <f t="shared" si="36"/>
        <v>0</v>
      </c>
      <c r="AG31" s="144">
        <f t="shared" si="36"/>
        <v>2</v>
      </c>
      <c r="AH31" s="144">
        <f t="shared" si="36"/>
        <v>18</v>
      </c>
      <c r="AI31" s="144">
        <f t="shared" si="36"/>
        <v>16</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357</v>
      </c>
      <c r="AZ31" s="144">
        <f>SUBTOTAL(9,AZ9:AZ30)</f>
        <v>370</v>
      </c>
      <c r="BA31" s="144">
        <f>SUBTOTAL(9,BA9:BA30)</f>
        <v>378</v>
      </c>
      <c r="BB31" s="144">
        <f>SUBTOTAL(9,BB9:BB30)</f>
        <v>350</v>
      </c>
      <c r="BC31" s="145">
        <f>SUBTOTAL(9,BC9:BC30)</f>
        <v>75</v>
      </c>
      <c r="BD31" s="227">
        <f>IF(ISNUMBER(BA31/AZ31),BA31/AZ31," - ")</f>
        <v>1.0216216216216216</v>
      </c>
      <c r="BE31" s="224">
        <f>IF(ISNUMBER(BB31/BA31),BB31/BA31, " - ")</f>
        <v>0.92592592592592593</v>
      </c>
      <c r="BF31" s="224">
        <f>IF(ISNUMBER(BC31/BA31),BC31/BA31, " - ")</f>
        <v>0.1984126984126984</v>
      </c>
      <c r="BG31" s="145">
        <f>IF(ISNUMBER((AY31+AZ31)/BA31),(AY31+AZ31)/BA31," - ")</f>
        <v>1.9232804232804233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fChWR3BLFt3gd9TjUu99eCChz6Ow0pMbQdNg+aeeKTtpiLmfhYOpfpWCQFqTZ0kriaAWYDbf0j5IF8c2DSSw==" saltValue="XvcZ/FpKgsJhBa6jyb4U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vlhuEQ1fdGPBPLk6BSyirhvrk0KcqyXBeVPBuXpEn2+2o8UkxSUoX00RzwsDTxVRgyBsTvtg2cQ3i+eX1bZfQ==" saltValue="veO3159xGJClILRNO4n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BAEZA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176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0.67032967032967028</v>
      </c>
      <c r="BH12" s="764">
        <f>IF(ISNUMBER(((IF(J_V="SI",Datos!L12/Datos!K12,(Datos!L12+Datos!AB12)/(Datos!K12+Datos!AA12)))*11)/factor_trimestre),((IF(J_V="SI",Datos!L12/Datos!K12,(Datos!L12+Datos!AB12)/(Datos!K12+Datos!AA12)))*11)/factor_trimestre," - ")</f>
        <v>5.1475409836065573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-5.8823529411764705E-2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47</v>
      </c>
      <c r="AD14" s="1198">
        <f t="shared" si="2"/>
        <v>0</v>
      </c>
      <c r="AE14" s="1198">
        <f t="shared" si="2"/>
        <v>0</v>
      </c>
      <c r="AF14" s="1198">
        <f t="shared" si="2"/>
        <v>3</v>
      </c>
      <c r="AG14" s="1198">
        <f t="shared" si="2"/>
        <v>0</v>
      </c>
      <c r="AH14" s="1198">
        <f t="shared" si="2"/>
        <v>9</v>
      </c>
      <c r="AI14" s="1198">
        <f t="shared" si="2"/>
        <v>0</v>
      </c>
      <c r="AJ14" s="1198">
        <f t="shared" si="2"/>
        <v>0</v>
      </c>
      <c r="AK14" s="1198">
        <f t="shared" si="2"/>
        <v>0</v>
      </c>
      <c r="AL14" s="1198">
        <f t="shared" si="2"/>
        <v>0</v>
      </c>
      <c r="AM14" s="1198">
        <f t="shared" si="2"/>
        <v>176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38</v>
      </c>
      <c r="BE14" s="1198">
        <f t="shared" si="2"/>
        <v>0</v>
      </c>
      <c r="BF14" s="1198">
        <f t="shared" si="2"/>
        <v>0</v>
      </c>
      <c r="BG14" s="1198">
        <f>IF(ISNUMBER(Datos!K14/Datos!J14),Datos!K14/Datos!J14," - ")</f>
        <v>0.68235294117647061</v>
      </c>
      <c r="BH14" s="1202">
        <f>IF(ISNUMBER(((Datos!L14/Datos!K14)*11)/factor_trimestre),((Datos!L14/Datos!K14)*11)/factor_trimestre," - ")</f>
        <v>5.3103448275862073</v>
      </c>
      <c r="BI14" s="1198">
        <f>IF(ISNUMBER('Resol  Asuntos'!D14/NºAsuntos!G14),'Resol  Asuntos'!D14/NºAsuntos!G14," - ")</f>
        <v>0.18699186991869918</v>
      </c>
      <c r="BJ14" s="1198" t="str">
        <f>IF(ISNUMBER(Datos!CI14/Datos!CJ14),Datos!CI14/Datos!CJ14," - ")</f>
        <v xml:space="preserve"> - </v>
      </c>
      <c r="BK14" s="1198">
        <f>SUBTOTAL(9,BK8:BK13)</f>
        <v>0</v>
      </c>
      <c r="BL14" s="1198">
        <f>IF(ISNUMBER((I14-AB14+L14)/(F14)),(I14-AB14+L14)/(F14)," - ")</f>
        <v>-0.33333333333333331</v>
      </c>
      <c r="BM14" s="1203">
        <f>SUBTOTAL(9,BM9:BM13)</f>
        <v>-5.8823529411764705E-2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103</v>
      </c>
      <c r="G17" s="743">
        <f>IF(ISNUMBER(IF(D_I="SI",Datos!I17,Datos!I17+Datos!AC17)),IF(D_I="SI",Datos!I17,Datos!I17+Datos!AC17)," - ")</f>
        <v>103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224</v>
      </c>
      <c r="AC17" s="240">
        <f>IF(ISNUMBER(Datos!Q17),Datos!Q17," - ")</f>
        <v>7</v>
      </c>
      <c r="AD17" s="374"/>
      <c r="AE17" s="562"/>
      <c r="AF17" s="741">
        <f>IF(ISNUMBER(IF(D_I="SI",Datos!L17,Datos!L17+Datos!AF17)),IF(D_I="SI",Datos!L17,Datos!L17+Datos!AF17)," - ")</f>
        <v>142</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163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0.85171102661596954</v>
      </c>
      <c r="BH17" s="764">
        <f>IF(ISNUMBER(((IF(D_I="SI",Datos!L17/Datos!K17,(Datos!L17+Datos!AF17)/(Datos!K17+Datos!AE17)))*11)/factor_trimestre),((IF(D_I="SI",Datos!L17/Datos!K17,(Datos!L17+Datos!AF17)/(Datos!K17+Datos!AE17)))*11)/factor_trimestre," - ")</f>
        <v>1.2678571428571428</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1</v>
      </c>
      <c r="AD18" s="549"/>
      <c r="AE18" s="562"/>
      <c r="AF18" s="551">
        <f>IF(ISNUMBER(Datos!L18),Datos!L18,"-")</f>
        <v>11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1.2941176470588236</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103</v>
      </c>
      <c r="G23" s="1197">
        <f>SUBTOTAL(9,G16:G22)</f>
        <v>113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v>
      </c>
      <c r="AC23" s="1198">
        <f t="shared" si="5"/>
        <v>8</v>
      </c>
      <c r="AD23" s="1198">
        <f t="shared" si="5"/>
        <v>0</v>
      </c>
      <c r="AE23" s="1198">
        <f t="shared" si="5"/>
        <v>0</v>
      </c>
      <c r="AF23" s="1198">
        <f t="shared" si="5"/>
        <v>153</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174</v>
      </c>
      <c r="BE23" s="1198">
        <f t="shared" si="5"/>
        <v>0</v>
      </c>
      <c r="BF23" s="1198">
        <f t="shared" si="5"/>
        <v>0</v>
      </c>
      <c r="BG23" s="1198">
        <f>IF(ISNUMBER(Datos!K23/Datos!J23),Datos!K23/Datos!J23," - ")</f>
        <v>0.85765124555160144</v>
      </c>
      <c r="BH23" s="1202">
        <f>IF(ISNUMBER(((Datos!L23/Datos!K23)*11)/factor_trimestre),((Datos!L23/Datos!K23)*11)/factor_trimestre," - ")</f>
        <v>1.2697095435684647</v>
      </c>
      <c r="BI23" s="1198">
        <f>SUBTOTAL(9,BI16:BI22)</f>
        <v>0.26050420168067223</v>
      </c>
      <c r="BJ23" s="1198">
        <f>SUBTOTAL(9,BJ16:BJ22)</f>
        <v>0</v>
      </c>
      <c r="BK23" s="1198">
        <f>SUBTOTAL(9,BK16:BK22)</f>
        <v>0</v>
      </c>
      <c r="BL23" s="1198">
        <f>IF(ISNUMBER((I23-AB23+L23)/(F23)),(I23-AB23+L23)/(F23)," - ")</f>
        <v>-2.3398058252427183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106</v>
      </c>
      <c r="G31" s="1117">
        <f t="shared" si="18"/>
        <v>116</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v>
      </c>
      <c r="AC31" s="1118">
        <f t="shared" si="19"/>
        <v>55</v>
      </c>
      <c r="AD31" s="1118">
        <f t="shared" si="19"/>
        <v>0</v>
      </c>
      <c r="AE31" s="1118">
        <f t="shared" si="19"/>
        <v>0</v>
      </c>
      <c r="AF31" s="1125">
        <f t="shared" si="19"/>
        <v>156</v>
      </c>
      <c r="AG31" s="1125">
        <f t="shared" si="19"/>
        <v>0</v>
      </c>
      <c r="AH31" s="1125">
        <f t="shared" si="19"/>
        <v>9</v>
      </c>
      <c r="AI31" s="1125">
        <f t="shared" si="19"/>
        <v>0</v>
      </c>
      <c r="AJ31" s="1118">
        <f t="shared" si="19"/>
        <v>0</v>
      </c>
      <c r="AK31" s="1125">
        <f t="shared" si="19"/>
        <v>0</v>
      </c>
      <c r="AL31" s="1125">
        <f t="shared" si="19"/>
        <v>0</v>
      </c>
      <c r="AM31" s="1125">
        <f t="shared" si="19"/>
        <v>209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212</v>
      </c>
      <c r="BE31" s="1117">
        <f t="shared" si="19"/>
        <v>0</v>
      </c>
      <c r="BF31" s="1127">
        <f t="shared" si="19"/>
        <v>0</v>
      </c>
      <c r="BG31" s="1223">
        <f>IF(ISNUMBER(Datos!K31/Datos!J31),Datos!K31/Datos!J31," - ")</f>
        <v>0.79157427937915747</v>
      </c>
      <c r="BH31" s="1223">
        <f>IF(ISNUMBER(((Datos!L31/Datos!K31)*11)/factor_trimestre),((Datos!L31/Datos!K31)*11)/factor_trimestre," - ")</f>
        <v>2.5826330532212887</v>
      </c>
      <c r="BI31" s="1103">
        <f>IF(ISNUMBER(Datos!J31/Datos!I31),Datos!J31/Datos!I31," - ")</f>
        <v>1.228882833787466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-2.2830188679245285</v>
      </c>
      <c r="BM31" s="1188">
        <f>IF(ISNUMBER((Datos!P31-Datos!Q31+R31)/(Datos!R31-Datos!P31+Datos!Q31-R31)),(Datos!P31-Datos!Q31+R31)/(Datos!R31-Datos!P31+Datos!Q31-R31)," - ")</f>
        <v>-0.05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52.431542669147802</v>
      </c>
      <c r="G33" s="674">
        <f>IF(ISNUMBER(STDEV(G8:G30)),STDEV(G8:G30),"-")</f>
        <v>51.327148668869093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111.86513989536475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15.201033799430505</v>
      </c>
      <c r="BD33" s="673"/>
      <c r="BE33" s="673">
        <f>IF(ISNUMBER(STDEV(BE8:BE30)),STDEV(BE8:BE30),"-")</f>
        <v>0</v>
      </c>
      <c r="BF33" s="678">
        <f>IF(ISNUMBER(STDEV(BF8:BF30)),STDEV(BF8:BF30),"-")</f>
        <v>0</v>
      </c>
      <c r="BG33" s="1052">
        <f>IF(ISNUMBER(STDEV(BG8:BG30)),STDEV(BG8:BG30),"-")</f>
        <v>0.13446993095884571</v>
      </c>
      <c r="BH33" s="1058">
        <f>IF(ISNUMBER(STDEV(BH8:BH30)),STDEV(BH8:BH30),"-")</f>
        <v>2.3229375999928701</v>
      </c>
      <c r="BI33" s="273">
        <f>IF(ISNUMBER(STDEV(BI8:BI30)),STDEV(BI8:BI30),"-")</f>
        <v>6.2613351832110781E-2</v>
      </c>
      <c r="BJ33" s="244" t="str">
        <f>IF(ISNUMBER(BL33/BM33),BL33/BM33," - ")</f>
        <v xml:space="preserve"> - </v>
      </c>
      <c r="BK33" s="709"/>
      <c r="BL33" s="681">
        <f>IF(ISNUMBER(STDEV(BL8:BL30)),STDEV(BL8:BL30),"-")</f>
        <v>1.4187903052933961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zkM7glZJY3V7Qd6sh5y7DJAW11WTifXg3SsGQi/3lnvoBJFIJ2KnG127D6Q41IDrv414aFneq5ZihtS2YkjjA==" saltValue="GfPETKC58OguEm8Lgyg0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BAEZA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176</v>
      </c>
      <c r="AF12" s="693" t="str">
        <f>IF(ISNUMBER(Datos!BV12),Datos!BV12," - ")</f>
        <v xml:space="preserve"> - </v>
      </c>
      <c r="AG12" s="552" t="str">
        <f>IF(ISNUMBER(Datos!DV12),Datos!DV12," - ")</f>
        <v xml:space="preserve"> - </v>
      </c>
      <c r="AH12" s="553"/>
      <c r="AI12" s="554"/>
      <c r="AJ12" s="552">
        <f>IF(ISNUMBER(Datos!M12),Datos!M12," - ")</f>
        <v>23</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5.1475409836065573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-5.8823529411764705E-2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47</v>
      </c>
      <c r="AA14" s="1199">
        <f t="shared" si="3"/>
        <v>3</v>
      </c>
      <c r="AB14" s="1199">
        <f t="shared" si="3"/>
        <v>0</v>
      </c>
      <c r="AC14" s="1199">
        <f t="shared" si="3"/>
        <v>0</v>
      </c>
      <c r="AD14" s="1199">
        <f t="shared" si="3"/>
        <v>0</v>
      </c>
      <c r="AE14" s="1199">
        <f t="shared" si="3"/>
        <v>176</v>
      </c>
      <c r="AF14" s="1211">
        <f t="shared" si="3"/>
        <v>0</v>
      </c>
      <c r="AG14" s="1211">
        <f t="shared" si="3"/>
        <v>0</v>
      </c>
      <c r="AH14" s="1211">
        <f t="shared" si="3"/>
        <v>0</v>
      </c>
      <c r="AI14" s="1211">
        <f t="shared" si="3"/>
        <v>0</v>
      </c>
      <c r="AJ14" s="1211">
        <f t="shared" si="3"/>
        <v>23</v>
      </c>
      <c r="AK14" s="1211">
        <f t="shared" si="3"/>
        <v>38</v>
      </c>
      <c r="AL14" s="1211">
        <f t="shared" si="3"/>
        <v>0</v>
      </c>
      <c r="AM14" s="1211">
        <f t="shared" si="3"/>
        <v>0</v>
      </c>
      <c r="AN14" s="1211">
        <f t="shared" si="3"/>
        <v>0</v>
      </c>
      <c r="AO14" s="1203">
        <f>IF(ISNUMBER(((NºAsuntos!I14/NºAsuntos!G14)*11)/factor_trimestre),((NºAsuntos!I14/NºAsuntos!G14)*11)/factor_trimestre," - ")</f>
        <v>5.154471544715447</v>
      </c>
      <c r="AP14" s="1213" t="str">
        <f>IF(ISNUMBER(Datos!CI14/Datos!CJ14),Datos!CI14/Datos!CJ14," - ")</f>
        <v xml:space="preserve"> - </v>
      </c>
      <c r="AQ14" s="1236">
        <f t="shared" ref="AQ14:AV14" si="4">SUBTOTAL(9,AQ9:AQ13)</f>
        <v>0</v>
      </c>
      <c r="AR14" s="1236">
        <f t="shared" si="4"/>
        <v>-5.8823529411764705E-2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103</v>
      </c>
      <c r="G17" s="552">
        <f>IF(ISNUMBER(IF(D_I="SI",Datos!I17,Datos!I17+Datos!AC17)),IF(D_I="SI",Datos!I17,Datos!I17+Datos!AC17)," - ")</f>
        <v>103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224</v>
      </c>
      <c r="Z17" s="805">
        <f>IF(ISNUMBER(Datos!Q17),Datos!Q17," - ")</f>
        <v>7</v>
      </c>
      <c r="AA17" s="551">
        <f>IF(ISNUMBER(IF(D_I="SI",Datos!L17,Datos!L17+Datos!AF17)),IF(D_I="SI",Datos!L17,Datos!L17+Datos!AF17)," - ")</f>
        <v>142</v>
      </c>
      <c r="AB17" s="549"/>
      <c r="AC17" s="549"/>
      <c r="AD17" s="563"/>
      <c r="AE17" s="563">
        <f>IF(ISNUMBER(Datos!R17),Datos!R17," - ")</f>
        <v>31</v>
      </c>
      <c r="AF17" s="693" t="str">
        <f>IF(ISNUMBER(Datos!BV17),Datos!BV17," - ")</f>
        <v xml:space="preserve"> - </v>
      </c>
      <c r="AG17" s="552"/>
      <c r="AH17" s="553"/>
      <c r="AI17" s="554"/>
      <c r="AJ17" s="552">
        <f>IF(ISNUMBER(Datos!M17),Datos!M17," - ")</f>
        <v>32</v>
      </c>
      <c r="AK17" s="693">
        <f>IF(ISNUMBER(Datos!N17),Datos!N17," - ")</f>
        <v>163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1.2678571428571428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1</v>
      </c>
      <c r="AA18" s="551">
        <f>IF(ISNUMBER(Datos!L18),Datos!L18,"-")</f>
        <v>11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1.2941176470588236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103</v>
      </c>
      <c r="G23" s="1197">
        <f>SUBTOTAL(9,G16:G22)</f>
        <v>113</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v>
      </c>
      <c r="Z23" s="1240">
        <f t="shared" si="6"/>
        <v>8</v>
      </c>
      <c r="AA23" s="1240">
        <f t="shared" si="6"/>
        <v>153</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34</v>
      </c>
      <c r="AK23" s="1240">
        <f t="shared" si="6"/>
        <v>174</v>
      </c>
      <c r="AL23" s="1240">
        <f t="shared" si="6"/>
        <v>0</v>
      </c>
      <c r="AM23" s="1240">
        <f t="shared" si="6"/>
        <v>0</v>
      </c>
      <c r="AN23" s="1240">
        <f t="shared" si="6"/>
        <v>0</v>
      </c>
      <c r="AO23" s="1242">
        <f>IF(ISNUMBER(((NºAsuntos!I23/NºAsuntos!G23)*11)/factor_trimestre),((NºAsuntos!I23/NºAsuntos!G23)*11)/factor_trimestre," - ")</f>
        <v>1.2697095435684647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106</v>
      </c>
      <c r="G31" s="1117">
        <f t="shared" si="12"/>
        <v>116</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v>
      </c>
      <c r="Z31" s="1124">
        <f t="shared" si="13"/>
        <v>55</v>
      </c>
      <c r="AA31" s="1125">
        <f t="shared" si="13"/>
        <v>156</v>
      </c>
      <c r="AB31" s="1125">
        <f t="shared" si="13"/>
        <v>0</v>
      </c>
      <c r="AC31" s="1125">
        <f t="shared" si="13"/>
        <v>0</v>
      </c>
      <c r="AD31" s="1126">
        <f t="shared" si="13"/>
        <v>0</v>
      </c>
      <c r="AE31" s="1126">
        <f t="shared" si="13"/>
        <v>209</v>
      </c>
      <c r="AF31" s="1127">
        <f t="shared" si="13"/>
        <v>0</v>
      </c>
      <c r="AG31" s="1128">
        <f t="shared" si="13"/>
        <v>0</v>
      </c>
      <c r="AH31" s="1129">
        <f t="shared" si="13"/>
        <v>0</v>
      </c>
      <c r="AI31" s="1127">
        <f t="shared" si="13"/>
        <v>0</v>
      </c>
      <c r="AJ31" s="1117">
        <f t="shared" si="13"/>
        <v>57</v>
      </c>
      <c r="AK31" s="1117">
        <f t="shared" si="13"/>
        <v>212</v>
      </c>
      <c r="AL31" s="1117">
        <f t="shared" si="13"/>
        <v>0</v>
      </c>
      <c r="AM31" s="1130">
        <f t="shared" si="13"/>
        <v>0</v>
      </c>
      <c r="AN31" s="1120">
        <f>IF(ISNUMBER(Datos!K31/Datos!J31),Datos!K31/Datos!J31," - ")</f>
        <v>0.79157427937915747</v>
      </c>
      <c r="AO31" s="1120">
        <f>IF(ISNUMBER(FIND("06",Criterios!A8,1)),(IF(ISNUMBER(((Datos!R31/Datos!Q31)*11)/factor_trimestre),((Datos!R31/Datos!Q31)*11)/factor_trimestre," - ")),(IF(ISNUMBER(((Datos!L31/Datos!K31)*11)/factor_trimestre),((Datos!L31/Datos!K31)*11)/factor_trimestre," - ")))</f>
        <v>2.5826330532212887</v>
      </c>
      <c r="AP31" s="1131" t="str">
        <f>IF(ISNUMBER(Datos!CI31/Datos!CJ31),Datos!CI31/Datos!CJ31," - ")</f>
        <v xml:space="preserve"> - </v>
      </c>
      <c r="AQ31" s="1131">
        <f>IF(OR(ISNUMBER(FIND("01",Criterios!A8,1)),ISNUMBER(FIND("02",Criterios!A8,1)),ISNUMBER(FIND("03",Criterios!A8,1)),ISNUMBER(FIND("04",Criterios!A8,1))),(J31-Y31+K31)/(F31-K31),(I31-Y31+K31)/(F31-K31))</f>
        <v>-2.2830188679245285</v>
      </c>
      <c r="AR31" s="1131">
        <f>IF(ISNUMBER((Datos!P31-Datos!Q31+O31)/(Datos!R31-Datos!P31+Datos!Q31-O31)),(Datos!P31-Datos!Q31+O31)/(Datos!R31-Datos!P31+Datos!Q31-O31)," - ")</f>
        <v>-0.05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52.431542669147802</v>
      </c>
      <c r="G33" s="674">
        <f>IF(ISNUMBER(STDEV(G8:G30)),STDEV(G8:G30),"-")</f>
        <v>51.327148668869093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15.201033799430505</v>
      </c>
      <c r="AK33" s="276"/>
      <c r="AL33" s="276">
        <f>IF(ISNUMBER(STDEV(AL8:AL30)),STDEV(AL8:AL30),"-")</f>
        <v>0</v>
      </c>
      <c r="AM33" s="278">
        <f>IF(ISNUMBER(STDEV(AM8:AM30)),STDEV(AM8:AM30),"-")</f>
        <v>0</v>
      </c>
      <c r="AN33" s="660">
        <f>IF(ISNUMBER(STDEV(AN8:AN30)),STDEV(AN8:AN30),"-")</f>
        <v>0</v>
      </c>
      <c r="AO33" s="661">
        <f>IF(ISNUMBER(STDEV(AO8:AO30)),STDEV(AO8:AO30),"-")</f>
        <v>2.2977885632417601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I5X5aZPJDdRge2HVWpm6S2bAvU0lwph738zzbJsMl0RLaId8wXo/9JGVn1cX+bZmHAHPw+A/x/ecr0YwLSVpA==" saltValue="HxuDbcqPDjPZBScOs+UC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DimvtYKETb8p8pTvREB2gOXze7kIrYZ/b/KIgF146TjtPaQWn47Ycd9FFOd4ltS4x1JR6tu+m4kQ2nnmDPcyA==" saltValue="b9S9GO2Syyju1CbvRg6f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n2wxNMNvcA1dwrw/d0Qhsj7tRHo4+v+V8PA+PyMV8Zsukb6nO9H8dGAGatfVESUqvUmECofhCDjHmtLR4voA==" saltValue="yfZ05FsVivDklWertwzV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BAEZA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0.18699186991869918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0.13222321924626498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PB4VdYgBCizU+Z1hxiIPPJw4+XJugevsDUHkNjUSc4G3m1hOgrsuXUKmA/GJXwCHfWdGhNYel/w2QTpL2bR0w==" saltValue="1tk+9HpuaKWtBOei1H0y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eHQmzMl+QYFd4Wtktj07g3xQ/STPHngGR67dmOsq9jc7HIaFXNqr17U4hvLO1ULQ19KWVGGOK7RSksV5jT2yA==" saltValue="BdoBwIdMIZ8zIbYmn0iP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BAEZA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254</v>
      </c>
      <c r="D12" s="452">
        <f>IF(ISNUMBER(C12/Datos!BH12),C12/Datos!BH12," - ")</f>
        <v>254</v>
      </c>
      <c r="E12" s="451">
        <f>IF(ISNUMBER(IF(J_V="SI",Datos!J12,Datos!J12+Datos!Z12)),IF(J_V="SI",Datos!J12,Datos!J12+Datos!Z12)," - ")</f>
        <v>182</v>
      </c>
      <c r="F12" s="452">
        <f>IF(ISNUMBER(E12/B12),E12/B12," - ")</f>
        <v>182</v>
      </c>
      <c r="G12" s="451">
        <f>IF(ISNUMBER(IF(J_V="SI",Datos!K12,Datos!K12+Datos!AA12)),IF(J_V="SI",Datos!K12,Datos!K12+Datos!AA12)," - ")</f>
        <v>122</v>
      </c>
      <c r="H12" s="452">
        <f>IF(ISNUMBER(G12/B12),G12/B12," - ")</f>
        <v>122</v>
      </c>
      <c r="I12" s="451">
        <f>IF(ISNUMBER(IF(J_V="SI",Datos!L12,Datos!L12+Datos!AB12)),IF(J_V="SI",Datos!L12,Datos!L12+Datos!AB12)," - ")</f>
        <v>314</v>
      </c>
      <c r="J12" s="452">
        <f>IF(ISNUMBER(I12/B12),I12/B12," - ")</f>
        <v>314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257</v>
      </c>
      <c r="D14" s="1147" t="str">
        <f>IF(ISNUMBER(C14/Datos!BI14),C14/Datos!BI14," - ")</f>
        <v xml:space="preserve"> - </v>
      </c>
      <c r="E14" s="1146">
        <f>SUBTOTAL(9,E8:E13)</f>
        <v>183</v>
      </c>
      <c r="F14" s="1147">
        <f>IF(ISNUMBER(E14/B14),E14/B14," - ")</f>
        <v>183</v>
      </c>
      <c r="G14" s="1146">
        <f>SUBTOTAL(9,G8:G13)</f>
        <v>123</v>
      </c>
      <c r="H14" s="1147">
        <f>IF(ISNUMBER(G14/B14),G14/B14," - ")</f>
        <v>123</v>
      </c>
      <c r="I14" s="1146">
        <f>SUBTOTAL(9,I8:I13)</f>
        <v>317</v>
      </c>
      <c r="J14" s="1147">
        <f>IF(ISNUMBER(I14/B14),I14/B14," - ")</f>
        <v>317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103</v>
      </c>
      <c r="D17" s="452">
        <f>IF(ISNUMBER(C17/Datos!BH17),C17/Datos!BH17," - ")</f>
        <v>103</v>
      </c>
      <c r="E17" s="451">
        <f>IF(ISNUMBER(IF(D_I="SI",Datos!J17,Datos!J17+Datos!AD17)),IF(D_I="SI",Datos!J17,Datos!J17+Datos!AD17)," - ")</f>
        <v>263</v>
      </c>
      <c r="F17" s="452">
        <f>IF(ISNUMBER(E17/B17),E17/B17," - ")</f>
        <v>263</v>
      </c>
      <c r="G17" s="451">
        <f>IF(ISNUMBER(IF(D_I="SI",Datos!K17,Datos!K17+Datos!AE17)),IF(D_I="SI",Datos!K17,Datos!K17+Datos!AE17)," - ")</f>
        <v>224</v>
      </c>
      <c r="H17" s="452">
        <f>IF(ISNUMBER(G17/B17),G17/B17," - ")</f>
        <v>224</v>
      </c>
      <c r="I17" s="451">
        <f>IF(ISNUMBER(IF(D_I="SI",Datos!L17,Datos!L17+Datos!AF17)),IF(D_I="SI",Datos!L17,Datos!L17+Datos!AF17)," - ")</f>
        <v>142</v>
      </c>
      <c r="J17" s="452">
        <f>IF(ISNUMBER(I17/B17),I17/B17," - ")</f>
        <v>142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18</v>
      </c>
      <c r="F18" s="452">
        <f>IF(ISNUMBER(E18/B18),E18/B18," - ")</f>
        <v>18</v>
      </c>
      <c r="G18" s="451">
        <f>IF(ISNUMBER(IF(D_I="SI",Datos!K18,Datos!K18+Datos!AE18)),IF(D_I="SI",Datos!K18,Datos!K18+Datos!AE18)," - ")</f>
        <v>17</v>
      </c>
      <c r="H18" s="452">
        <f>IF(ISNUMBER(G18/B18),G18/B18," - ")</f>
        <v>17</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113</v>
      </c>
      <c r="D23" s="1147" t="str">
        <f>IF(ISNUMBER(C23/Datos!BI23),C23/Datos!BI23," - ")</f>
        <v xml:space="preserve"> - </v>
      </c>
      <c r="E23" s="1146">
        <f>SUBTOTAL(9,E15:E22)</f>
        <v>281</v>
      </c>
      <c r="F23" s="1147">
        <f>IF(ISNUMBER(E23/B23),E23/B23," - ")</f>
        <v>281</v>
      </c>
      <c r="G23" s="1146">
        <f>SUBTOTAL(9,G15:G22)</f>
        <v>241</v>
      </c>
      <c r="H23" s="1147">
        <f>IF(ISNUMBER(G23/B23),G23/B23," - ")</f>
        <v>241</v>
      </c>
      <c r="I23" s="1146">
        <f>SUBTOTAL(9,I15:I22)</f>
        <v>153</v>
      </c>
      <c r="J23" s="1147">
        <f>IF(ISNUMBER(I23/B23),I23/B23," - ")</f>
        <v>153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370</v>
      </c>
      <c r="D31" s="1085" t="str">
        <f>IF(ISNUMBER(C31/Datos!BI31),C31/Datos!BI31," - ")</f>
        <v xml:space="preserve"> - </v>
      </c>
      <c r="E31" s="1084">
        <f>SUBTOTAL(9,E9:E30)</f>
        <v>464</v>
      </c>
      <c r="F31" s="1085">
        <f>IF(ISNUMBER(E31/B31),E31/B31," - ")</f>
        <v>464</v>
      </c>
      <c r="G31" s="1084">
        <f>SUBTOTAL(9,G9:G30)</f>
        <v>364</v>
      </c>
      <c r="H31" s="1085">
        <f>IF(ISNUMBER(G31/B31),G31/B31," - ")</f>
        <v>364</v>
      </c>
      <c r="I31" s="1084">
        <f>SUBTOTAL(9,I9:I30)</f>
        <v>470</v>
      </c>
      <c r="J31" s="1085">
        <f>IF(ISNUMBER(I31/B31),I31/B31," - ")</f>
        <v>470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2gghEXYPAgBchxUtZhVUH60Y4ifz6cVjf6SRI1ylsV6UbZQKFBR08zXyB2RE9zyhYIPNPjKuqy7Zwm2KI83xA==" saltValue="t8WlQv76UIDj3tD92cje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BAEZA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5.1475409836065573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-5.8823529411764705E-2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47</v>
      </c>
      <c r="AE14" s="1257">
        <f t="shared" si="1"/>
        <v>0</v>
      </c>
      <c r="AF14" s="1257">
        <f t="shared" si="1"/>
        <v>3</v>
      </c>
      <c r="AG14" s="1257">
        <f t="shared" si="1"/>
        <v>0</v>
      </c>
      <c r="AH14" s="1257">
        <f t="shared" si="1"/>
        <v>176</v>
      </c>
      <c r="AI14" s="1257">
        <f t="shared" si="1"/>
        <v>0</v>
      </c>
      <c r="AJ14" s="1257">
        <f t="shared" si="1"/>
        <v>0</v>
      </c>
      <c r="AK14" s="1257">
        <f t="shared" si="1"/>
        <v>0</v>
      </c>
      <c r="AL14" s="1257">
        <f t="shared" si="1"/>
        <v>23</v>
      </c>
      <c r="AM14" s="1257">
        <f t="shared" si="1"/>
        <v>38</v>
      </c>
      <c r="AN14" s="1257">
        <f t="shared" si="1"/>
        <v>0</v>
      </c>
      <c r="AO14" s="1257">
        <f t="shared" si="1"/>
        <v>0</v>
      </c>
      <c r="AP14" s="1262">
        <f>IF(ISNUMBER(((Datos!L14/Datos!K14)*11)/factor_trimestre),((Datos!L14/Datos!K14)*11)/factor_trimestre," - ")</f>
        <v>5.3103448275862073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-5.8823529411764705E-2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1.2697095435684647</v>
      </c>
      <c r="AQ23" s="1262">
        <f>IF(ISNUMBER(((Datos!M23/Datos!L23)*11)/factor_trimestre),((Datos!M23/Datos!L23)*11)/factor_trimestre," - ")</f>
        <v>0.44444444444444442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-0.18939393939393939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47</v>
      </c>
      <c r="AE31" s="1284">
        <f t="shared" si="9"/>
        <v>0</v>
      </c>
      <c r="AF31" s="1285">
        <f t="shared" si="9"/>
        <v>3</v>
      </c>
      <c r="AG31" s="1285">
        <f t="shared" si="9"/>
        <v>0</v>
      </c>
      <c r="AH31" s="1285">
        <f t="shared" si="9"/>
        <v>176</v>
      </c>
      <c r="AI31" s="1285">
        <f t="shared" si="9"/>
        <v>0</v>
      </c>
      <c r="AJ31" s="1286">
        <f t="shared" si="9"/>
        <v>0</v>
      </c>
      <c r="AK31" s="1286">
        <f t="shared" si="9"/>
        <v>0</v>
      </c>
      <c r="AL31" s="1278">
        <f t="shared" si="9"/>
        <v>23</v>
      </c>
      <c r="AM31" s="1278">
        <f t="shared" si="9"/>
        <v>38</v>
      </c>
      <c r="AN31" s="1278">
        <f t="shared" si="9"/>
        <v>0</v>
      </c>
      <c r="AO31" s="1278">
        <f t="shared" si="9"/>
        <v>0</v>
      </c>
      <c r="AP31" s="1278">
        <f>IF(ISNUMBER(((Datos!L31/Datos!K31)*11)/factor_trimestre),((Datos!L31/Datos!K31)*11)/factor_trimestre," - ")</f>
        <v>2.5826330532212887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2.1402642691399603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G8ZnFtQ8TlgIlkloRsCjubVq9WApQWaRIx0VX6PzCXjux33vddHRW8U5L8Cj4PH+lG/sQC5ONzbMI0Pum4tWQ==" saltValue="aMY7BoOtR/578ebNMW3s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BAEZA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V2+ex9JUBWEwuCRVJJq7dZOZda+6QMTr/r1Q1NMTtSf1OFHxfmTBbC2mp8yQM1fM5DFek7RO2j/yCchR27/wA==" saltValue="pLjyXy7hBAbIDZ08toVi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BAEZA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37</v>
      </c>
      <c r="G12" s="452">
        <f t="shared" si="1"/>
        <v>37</v>
      </c>
      <c r="H12" s="451">
        <f>IF(ISNUMBER(Datos!O12),Datos!O12," - ")</f>
        <v>59</v>
      </c>
      <c r="I12" s="452">
        <f t="shared" si="2"/>
        <v>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38</v>
      </c>
      <c r="G14" s="1147">
        <f t="shared" si="1"/>
        <v>19</v>
      </c>
      <c r="H14" s="1146">
        <f>SUBTOTAL(9,H9:H13)</f>
        <v>59</v>
      </c>
      <c r="I14" s="1147">
        <f>IF(ISNUMBER(H14/B14),H14/B14," - ")</f>
        <v>29.5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32</v>
      </c>
      <c r="E17" s="452">
        <f t="shared" si="3"/>
        <v>32</v>
      </c>
      <c r="F17" s="451">
        <f>IF(ISNUMBER(Datos!N17),Datos!N17," - ")</f>
        <v>163</v>
      </c>
      <c r="G17" s="452">
        <f t="shared" si="4"/>
        <v>163</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174</v>
      </c>
      <c r="G23" s="1147">
        <f t="shared" si="4"/>
        <v>87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212</v>
      </c>
      <c r="G31" s="1085">
        <f>IF(ISNUMBER(F31/B31),F31/B31," - ")</f>
        <v>212</v>
      </c>
      <c r="H31" s="1084">
        <f>SUBTOTAL(9,H8:H30)</f>
        <v>59</v>
      </c>
      <c r="I31" s="1085">
        <f>IF(ISNUMBER(H31/B31),H31/B31," - ")</f>
        <v>59</v>
      </c>
    </row>
    <row r="34" spans="1:1">
      <c r="A34" s="439" t="str">
        <f>Criterios!A4</f>
        <v>Fecha Informe: 06 may. 2023</v>
      </c>
    </row>
    <row r="39" spans="1:1">
      <c r="A39" s="462"/>
    </row>
  </sheetData>
  <sheetProtection algorithmName="SHA-512" hashValue="2G3Uyacs2jOtVIZ6d8SBcr66oZTl+d4CsUdLeeA2Z3LGU0WHQD28cBi59oLixaY6lHmiPU3SslySUPUXAHbfcQ==" saltValue="cqVEjsdLfWqjeHZgbSTp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BAEZA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47</v>
      </c>
      <c r="D12" s="456">
        <f>IF(ISNUMBER(Datos!R12),Datos!R12," - ")</f>
        <v>176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47</v>
      </c>
      <c r="D14" s="1148">
        <f>SUBTOTAL(9,D9:D13)</f>
        <v>176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7</v>
      </c>
      <c r="D17" s="456">
        <f>IF(ISNUMBER(Datos!R17),Datos!R17," - ")</f>
        <v>31</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8</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55</v>
      </c>
      <c r="D31" s="1090">
        <f>SUBTOTAL(9,D8:D30)</f>
        <v>209</v>
      </c>
    </row>
    <row r="32" spans="1:4" ht="7.5" customHeight="1"/>
    <row r="33" spans="1:1" ht="6" customHeight="1"/>
    <row r="34" spans="1:1">
      <c r="A34" s="439" t="str">
        <f>Criterios!A4</f>
        <v>Fecha Informe: 06 may. 2023</v>
      </c>
    </row>
    <row r="39" spans="1:1">
      <c r="A39" s="462"/>
    </row>
  </sheetData>
  <sheetProtection algorithmName="SHA-512" hashValue="3lPn2at+qqnxlaT8TK8aQ9SkXqQNcjnmfVD1HCwrTzaMxZnFNjgmqkEgz6T639ztJVmLyjxZ23R+xE8AxoBFfg==" saltValue="gM4/1F7BTVx62byxlkC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BAEZA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0</v>
      </c>
      <c r="D10" s="515">
        <f>IF(ISNUMBER((Datos!K10-Datos!U10)/Datos!U10),(Datos!K10-Datos!U10)/Datos!U10," - ")</f>
        <v>0</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2.0080321285140562E-2</v>
      </c>
      <c r="C12" s="515">
        <f>IF(ISNUMBER(
   IF(J_V="SI",(Datos!J12-Datos!T12)/Datos!T12,(Datos!J12+Datos!Z12-(Datos!T12+Datos!AH12))/(Datos!T12+Datos!AH12))
     ),IF(J_V="SI",(Datos!J12-Datos!T12)/Datos!T12,(Datos!J12+Datos!Z12-(Datos!T12+Datos!AH12))/(Datos!T12+Datos!AH12))," - ")</f>
        <v>0.35820895522388058</v>
      </c>
      <c r="D12" s="515">
        <f>IF(ISNUMBER(
   IF(J_V="SI",(Datos!K12-Datos!U12)/Datos!U12,(Datos!K12+Datos!AA12-(Datos!U12+Datos!AI12))/(Datos!U12+Datos!AI12))
     ),IF(J_V="SI",(Datos!K12-Datos!U12)/Datos!U12,(Datos!K12+Datos!AA12-(Datos!U12+Datos!AI12))/(Datos!U12+Datos!AI12))," - ")</f>
        <v>-0.18120805369127516</v>
      </c>
      <c r="E12" s="515">
        <f>IF(ISNUMBER(
   IF(J_V="SI",(Datos!L12-Datos!V12)/Datos!V12,(Datos!L12+Datos!AB12-(Datos!V12+Datos!AJ12))/(Datos!V12+Datos!AJ12))
     ),IF(J_V="SI",(Datos!L12-Datos!V12)/Datos!V12,(Datos!L12+Datos!AB12-(Datos!V12+Datos!AJ12))/(Datos!V12+Datos!AJ12))," - ")</f>
        <v>0.34188034188034189</v>
      </c>
      <c r="F12" s="515">
        <f>IF(ISNUMBER((Datos!M12-Datos!W12)/Datos!W12),(Datos!M12-Datos!W12)/Datos!W12," - ")</f>
        <v>-0.3783783783783784</v>
      </c>
      <c r="G12" s="516">
        <f>IF(ISNUMBER((Datos!N12-Datos!X12)/Datos!X12),(Datos!N12-Datos!X12)/Datos!X12," - ")</f>
        <v>5.7142857142857141E-2</v>
      </c>
      <c r="H12" s="514">
        <f>IF(ISNUMBER(((NºAsuntos!G12/NºAsuntos!E12)-Datos!BD12)/Datos!BD12),((NºAsuntos!G12/NºAsuntos!E12)-Datos!BD12)/Datos!BD12," - ")</f>
        <v>-0.39715318238808178</v>
      </c>
      <c r="I12" s="515">
        <f>IF(ISNUMBER(((NºAsuntos!I12/NºAsuntos!G12)-Datos!BE12)/Datos!BE12),((NºAsuntos!I12/NºAsuntos!G12)-Datos!BE12)/Datos!BE12," - ")</f>
        <v>0.63885386016533563</v>
      </c>
      <c r="J12" s="521">
        <f>IF(ISNUMBER((('Resol  Asuntos'!D12/NºAsuntos!G12)-Datos!BF12)/Datos!BF12),(('Resol  Asuntos'!D12/NºAsuntos!G12)-Datos!BF12)/Datos!BF12," - ")</f>
        <v>-0.19742388758782206</v>
      </c>
      <c r="K12" s="522">
        <f>IF(ISNUMBER((((NºAsuntos!C12+NºAsuntos!E12)/NºAsuntos!G12)-Datos!BG12)/Datos!BG12),(((NºAsuntos!C12+NºAsuntos!E12)/NºAsuntos!G12)-Datos!BG12)/Datos!BG12," - ")</f>
        <v>0.39031802422634071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2.8000000000000001E-2</v>
      </c>
      <c r="C14" s="1152">
        <f>IF(ISNUMBER(
   IF(J_V="SI",(Datos!J14-Datos!T14)/Datos!T14,(Datos!J14+Datos!Z14-(Datos!T14+Datos!AH14))/(Datos!T14+Datos!AH14))
     ),IF(J_V="SI",(Datos!J14-Datos!T14)/Datos!T14,(Datos!J14+Datos!Z14-(Datos!T14+Datos!AH14))/(Datos!T14+Datos!AH14))," - ")</f>
        <v>0.35555555555555557</v>
      </c>
      <c r="D14" s="1152">
        <f>IF(ISNUMBER(
   IF(J_V="SI",(Datos!K14-Datos!U14)/Datos!U14,(Datos!K14+Datos!AA14-(Datos!U14+Datos!AI14))/(Datos!U14+Datos!AI14))
     ),IF(J_V="SI",(Datos!K14-Datos!U14)/Datos!U14,(Datos!K14+Datos!AA14-(Datos!U14+Datos!AI14))/(Datos!U14+Datos!AI14))," - ")</f>
        <v>-0.18</v>
      </c>
      <c r="E14" s="1152">
        <f>IF(ISNUMBER(
   IF(J_V="SI",(Datos!L14-Datos!V14)/Datos!V14,(Datos!L14+Datos!AB14-(Datos!V14+Datos!AJ14))/(Datos!V14+Datos!AJ14))
     ),IF(J_V="SI",(Datos!L14-Datos!V14)/Datos!V14,(Datos!L14+Datos!AB14-(Datos!V14+Datos!AJ14))/(Datos!V14+Datos!AJ14))," - ")</f>
        <v>0.34893617021276596</v>
      </c>
      <c r="F14" s="1153">
        <f>IF(ISNUMBER((Datos!M14-Datos!W14)/Datos!W14),(Datos!M14-Datos!W14)/Datos!W14," - ")</f>
        <v>-0.3783783783783784</v>
      </c>
      <c r="G14" s="1154">
        <f>IF(ISNUMBER((Datos!N14-Datos!X14)/Datos!X14),(Datos!N14-Datos!X14)/Datos!X14," - ")</f>
        <v>8.5714285714285715E-2</v>
      </c>
      <c r="H14" s="1154">
        <f>IF(ISNUMBER(((NºAsuntos!G14/NºAsuntos!E14)-Datos!BD14)/Datos!BD14),((NºAsuntos!G14/NºAsuntos!E14)-Datos!BD14)/Datos!BD14," - ")</f>
        <v>-0.39508196721311478</v>
      </c>
      <c r="I14" s="1154">
        <f>IF(ISNUMBER(((NºAsuntos!I14/NºAsuntos!G14)-Datos!BE14)/Datos!BE14),((NºAsuntos!I14/NºAsuntos!G14)-Datos!BE14)/Datos!BE14," - ")</f>
        <v>0.64504411001556816</v>
      </c>
      <c r="J14" s="1154">
        <f>IF(ISNUMBER((('Resol  Asuntos'!D14/NºAsuntos!G14)-Datos!BF14)/Datos!BF14),(('Resol  Asuntos'!D14/NºAsuntos!G14)-Datos!BF14)/Datos!BF14," - ")</f>
        <v>-0.19860627177700355</v>
      </c>
      <c r="K14" s="1154">
        <f>IF(ISNUMBER((((NºAsuntos!C14+NºAsuntos!E14)/NºAsuntos!G14)-Datos!BG14)/Datos!BG14),(((NºAsuntos!C14+NºAsuntos!E14)/NºAsuntos!G14)-Datos!BG14)/Datos!BG14," - ")</f>
        <v>0.39372822299651555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0.16888888888888889</v>
      </c>
      <c r="D17" s="515">
        <f>IF(ISNUMBER(
   IF(D_I="SI",(Datos!K17-Datos!U17)/Datos!U17,(Datos!K17+Datos!AE17-(Datos!U17+Datos!AM17))/(Datos!U17+Datos!AM17))
     ),IF(D_I="SI",(Datos!K17-Datos!U17)/Datos!U17,(Datos!K17+Datos!AE17-(Datos!U17+Datos!AM17))/(Datos!U17+Datos!AM17))," - ")</f>
        <v>2.2831050228310501E-2</v>
      </c>
      <c r="E17" s="515">
        <f>IF(ISNUMBER(
   IF(D_I="SI",(Datos!L17-Datos!V17)/Datos!V17,(Datos!L17+Datos!AF17-(Datos!V17+Datos!AN17))/(Datos!V17+Datos!AN17))
     ),IF(D_I="SI",(Datos!L17-Datos!V17)/Datos!V17,(Datos!L17+Datos!AF17-(Datos!V17+Datos!AN17))/(Datos!V17+Datos!AN17))," - ")</f>
        <v>0.29090909090909089</v>
      </c>
      <c r="F17" s="515">
        <f>IF(ISNUMBER((Datos!M17-Datos!W17)/Datos!W17),(Datos!M17-Datos!W17)/Datos!W17," - ")</f>
        <v>-0.13513513513513514</v>
      </c>
      <c r="G17" s="516">
        <f>IF(ISNUMBER((Datos!N17-Datos!X17)/Datos!X17),(Datos!N17-Datos!X17)/Datos!X17," - ")</f>
        <v>4.4871794871794872E-2</v>
      </c>
      <c r="H17" s="514">
        <f>IF(ISNUMBER(((NºAsuntos!G17/NºAsuntos!E17)-Datos!BD17)/Datos!BD17),((NºAsuntos!G17/NºAsuntos!E17)-Datos!BD17)/Datos!BD17," - ")</f>
        <v>-0.12495442470962038</v>
      </c>
      <c r="I17" s="515">
        <f>IF(ISNUMBER(((NºAsuntos!I17/NºAsuntos!G17)-Datos!BE17)/Datos!BE17),((NºAsuntos!I17/NºAsuntos!G17)-Datos!BE17)/Datos!BE17," - ")</f>
        <v>0.26209415584415585</v>
      </c>
      <c r="J17" s="521">
        <f>IF(ISNUMBER((('Resol  Asuntos'!D17/NºAsuntos!G17)-Datos!BF17)/Datos!BF17),(('Resol  Asuntos'!D17/NºAsuntos!G17)-Datos!BF17)/Datos!BF17," - ")</f>
        <v>-0.15444015444015444</v>
      </c>
      <c r="K17" s="522">
        <f>IF(ISNUMBER((((NºAsuntos!C17+NºAsuntos!E17)/NºAsuntos!G17)-Datos!BG17)/Datos!BG17),(((NºAsuntos!C17+NºAsuntos!E17)/NºAsuntos!G17)-Datos!BG17)/Datos!BG17," - ")</f>
        <v>9.094621080139377E-2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0.88888888888888884</v>
      </c>
      <c r="E18" s="515">
        <f>IF(ISNUMBER(
   IF(D_I="SI",(Datos!L18-Datos!V18)/Datos!V18,(Datos!L18+Datos!AF18-(Datos!V18+Datos!AN18))/(Datos!V18+Datos!AN18))
     ),IF(D_I="SI",(Datos!L18-Datos!V18)/Datos!V18,(Datos!L18+Datos!AF18-(Datos!V18+Datos!AN18))/(Datos!V18+Datos!AN18))," - ")</f>
        <v>1.2</v>
      </c>
      <c r="F18" s="515">
        <f>IF(ISNUMBER((Datos!M18-Datos!W18)/Datos!W18),(Datos!M18-Datos!W18)/Datos!W18," - ")</f>
        <v>-0.33333333333333331</v>
      </c>
      <c r="G18" s="516">
        <f>IF(ISNUMBER((Datos!N18-Datos!X18)/Datos!X18),(Datos!N18-Datos!X18)/Datos!X18," - ")</f>
        <v>0.83333333333333337</v>
      </c>
      <c r="H18" s="514">
        <f>IF(ISNUMBER(((NºAsuntos!G18/NºAsuntos!E18)-Datos!BD18)/Datos!BD18),((NºAsuntos!G18/NºAsuntos!E18)-Datos!BD18)/Datos!BD18," - ")</f>
        <v>4.9382716049382665E-2</v>
      </c>
      <c r="I18" s="515">
        <f>IF(ISNUMBER(((NºAsuntos!I18/NºAsuntos!G18)-Datos!BE18)/Datos!BE18),((NºAsuntos!I18/NºAsuntos!G18)-Datos!BE18)/Datos!BE18," - ")</f>
        <v>0.16470588235294117</v>
      </c>
      <c r="J18" s="521">
        <f>IF(ISNUMBER((('Resol  Asuntos'!D18/NºAsuntos!G18)-Datos!BF18)/Datos!BF18),(('Resol  Asuntos'!D18/NºAsuntos!G18)-Datos!BF18)/Datos!BF18," - ")</f>
        <v>-0.6470588235294118</v>
      </c>
      <c r="K18" s="522">
        <f>IF(ISNUMBER((((NºAsuntos!C18+NºAsuntos!E18)/NºAsuntos!G18)-Datos!BG18)/Datos!BG18),(((NºAsuntos!C18+NºAsuntos!E18)/NºAsuntos!G18)-Datos!BG18)/Datos!BG18," - ")</f>
        <v>5.8823529411764636E-2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5.6074766355140186E-2</v>
      </c>
      <c r="C23" s="1152">
        <f>IF(ISNUMBER(
   IF(Criterios!B14="SI",(Datos!J23-Datos!T23)/Datos!T23,(Datos!J23+Datos!AD23-(Datos!T23+Datos!AL23))/(Datos!T23+Datos!AL23))
     ),IF(Criterios!B14="SI",(Datos!J23-Datos!T23)/Datos!T23,(Datos!J23+Datos!AD23-(Datos!T23+Datos!AL23))/(Datos!T23+Datos!AL23))," - ")</f>
        <v>0.19574468085106383</v>
      </c>
      <c r="D23" s="1152">
        <f>IF(ISNUMBER(
   IF(Criterios!B14="SI",(Datos!K23-Datos!U23)/Datos!U23,(Datos!K23+Datos!AE23-(Datos!U23+Datos!AM23))/(Datos!U23+Datos!AM23))
     ),IF(Criterios!B14="SI",(Datos!K23-Datos!U23)/Datos!U23,(Datos!K23+Datos!AE23-(Datos!U23+Datos!AM23))/(Datos!U23+Datos!AM23))," - ")</f>
        <v>5.701754385964912E-2</v>
      </c>
      <c r="E23" s="1152">
        <f>IF(ISNUMBER(
   IF(Criterios!B14="SI",(Datos!L23-Datos!V23)/Datos!V23,(Datos!L23+Datos!AF23-(Datos!V23+Datos!AN23))/(Datos!V23+Datos!AN23))
     ),IF(Criterios!B14="SI",(Datos!L23-Datos!V23)/Datos!V23,(Datos!L23+Datos!AF23-(Datos!V23+Datos!AN23))/(Datos!V23+Datos!AN23))," - ")</f>
        <v>0.33043478260869563</v>
      </c>
      <c r="F23" s="1153">
        <f>IF(ISNUMBER((Datos!M23-Datos!W23)/Datos!W23),(Datos!M23-Datos!W23)/Datos!W23," - ")</f>
        <v>-0.15</v>
      </c>
      <c r="G23" s="1154">
        <f>IF(ISNUMBER((Datos!N23-Datos!X23)/Datos!X23),(Datos!N23-Datos!X23)/Datos!X23," - ")</f>
        <v>7.407407407407407E-2</v>
      </c>
      <c r="H23" s="1154">
        <f>IF(ISNUMBER(((NºAsuntos!G23/NºAsuntos!E23)-Datos!BD23)/Datos!BD23),((NºAsuntos!G23/NºAsuntos!E23)-Datos!BD23)/Datos!BD23," - ")</f>
        <v>-0.11601735655865637</v>
      </c>
      <c r="I23" s="1154">
        <f>IF(ISNUMBER(((NºAsuntos!I23/NºAsuntos!G23)-Datos!BE23)/Datos!BE23),((NºAsuntos!I23/NºAsuntos!G23)-Datos!BE23)/Datos!BE23," - ")</f>
        <v>0.25866859101569539</v>
      </c>
      <c r="J23" s="1154">
        <f>IF(ISNUMBER((('Resol  Asuntos'!D23/NºAsuntos!G23)-Datos!BF23)/Datos!BF23),(('Resol  Asuntos'!D23/NºAsuntos!G23)-Datos!BF23)/Datos!BF23," - ")</f>
        <v>-0.19585062240663897</v>
      </c>
      <c r="K23" s="1154">
        <f>IF(ISNUMBER((((NºAsuntos!C23+NºAsuntos!E23)/NºAsuntos!G23)-Datos!BG23)/Datos!BG23),(((NºAsuntos!C23+NºAsuntos!E23)/NºAsuntos!G23)-Datos!BG23)/Datos!BG23," - ")</f>
        <v>8.9903181189488215E-2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3.6414565826330535E-2</v>
      </c>
      <c r="C31" s="1092">
        <f>IF(ISNUMBER(
   IF(J_V="SI",(Datos!J31-Datos!T31)/Datos!T31,(Datos!J31+Datos!Z31-(Datos!T31+Datos!AH31))/(Datos!T31+Datos!AH31))
     ),IF(J_V="SI",(Datos!J31-Datos!T31)/Datos!T31,(Datos!J31+Datos!Z31-(Datos!T31+Datos!AH31))/(Datos!T31+Datos!AH31))," - ")</f>
        <v>0.25405405405405407</v>
      </c>
      <c r="D31" s="1092">
        <f>IF(ISNUMBER(
   IF(J_V="SI",(Datos!K31-Datos!U31)/Datos!U31,(Datos!K31+Datos!AA31-(Datos!U31+Datos!AI31))/(Datos!U31+Datos!AI31))
     ),IF(J_V="SI",(Datos!K31-Datos!U31)/Datos!U31,(Datos!K31+Datos!AA31-(Datos!U31+Datos!AI31))/(Datos!U31+Datos!AI31))," - ")</f>
        <v>-3.7037037037037035E-2</v>
      </c>
      <c r="E31" s="1092">
        <f>IF(ISNUMBER(
   IF(J_V="SI",(Datos!L31-Datos!V31)/Datos!V31,(Datos!L31+Datos!AB31-(Datos!V31+Datos!AJ31))/(Datos!V31+Datos!AJ31))
     ),IF(J_V="SI",(Datos!L31-Datos!V31)/Datos!V31,(Datos!L31+Datos!AB31-(Datos!V31+Datos!AJ31))/(Datos!V31+Datos!AJ31))," - ")</f>
        <v>0.34285714285714286</v>
      </c>
      <c r="F31" s="1093">
        <f>IF(ISNUMBER((Datos!M31-Datos!W31)/Datos!W31),(Datos!M31-Datos!W31)/Datos!W31," - ")</f>
        <v>-0.25974025974025972</v>
      </c>
      <c r="G31" s="1094">
        <f>IF(ISNUMBER((Datos!N31-Datos!X31)/Datos!X31),(Datos!N31-Datos!X31)/Datos!X31," - ")</f>
        <v>7.6142131979695438E-2</v>
      </c>
      <c r="H31" s="1095">
        <f>IF(ISNUMBER((Tasas!B31-Datos!BD31)/Datos!BD31),(Tasas!B31-Datos!BD31)/Datos!BD31," - ")</f>
        <v>-0.23212005108556838</v>
      </c>
      <c r="I31" s="1096">
        <f>IF(ISNUMBER((Tasas!C31-Datos!BE31)/Datos!BE31),(Tasas!C31-Datos!BE31)/Datos!BE31," - ")</f>
        <v>0.3945054945054946</v>
      </c>
      <c r="J31" s="1097">
        <f>IF(ISNUMBER((Tasas!D31-Datos!BF31)/Datos!BF31),(Tasas!D31-Datos!BF31)/Datos!BF31," - ")</f>
        <v>-0.21076923076923074</v>
      </c>
      <c r="K31" s="1097">
        <f>IF(ISNUMBER((Tasas!E31-Datos!BG31)/Datos!BG31),(Tasas!E31-Datos!BG31)/Datos!BG31," - ")</f>
        <v>0.19130250767114584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LGpH1sdL5gvhaR/37+cI0RbQHZ2S+jyZ1MGPp0VmwrK90SjTUlygpqOsK/9DVehB8ofNmzUAC+MxEFnT60uMA==" saltValue="pM37JaE2ZQcyGUs1DZNi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BAEZA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0.67032967032967028</v>
      </c>
      <c r="C12" s="498">
        <f>IF(ISNUMBER(NºAsuntos!I12/NºAsuntos!G12),NºAsuntos!I12/NºAsuntos!G12," - ")</f>
        <v>2.5737704918032787</v>
      </c>
      <c r="D12" s="499">
        <f>IF(ISNUMBER('Resol  Asuntos'!D12/NºAsuntos!G12),'Resol  Asuntos'!D12/NºAsuntos!G12," - ")</f>
        <v>0.18852459016393441</v>
      </c>
      <c r="E12" s="500">
        <f>IF(ISNUMBER((NºAsuntos!C12+NºAsuntos!E12)/NºAsuntos!G12),(NºAsuntos!C12+NºAsuntos!E12)/NºAsuntos!G12," - ")</f>
        <v>3.5737704918032787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0.67213114754098358</v>
      </c>
      <c r="C14" s="1156">
        <f>IF(ISNUMBER(NºAsuntos!I14/NºAsuntos!G14),NºAsuntos!I14/NºAsuntos!G14," - ")</f>
        <v>2.5772357723577235</v>
      </c>
      <c r="D14" s="1157">
        <f>IF(ISNUMBER('Resol  Asuntos'!D14/NºAsuntos!G14),'Resol  Asuntos'!D14/NºAsuntos!G14," - ")</f>
        <v>0.18699186991869918</v>
      </c>
      <c r="E14" s="1158">
        <f>IF(ISNUMBER((NºAsuntos!C14+NºAsuntos!E14)/NºAsuntos!G14),(NºAsuntos!C14+NºAsuntos!E14)/NºAsuntos!G14," - ")</f>
        <v>3.5772357723577235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0.85171102661596954</v>
      </c>
      <c r="C17" s="498">
        <f>IF(ISNUMBER(NºAsuntos!I17/NºAsuntos!G17),NºAsuntos!I17/NºAsuntos!G17," - ")</f>
        <v>0.6339285714285714</v>
      </c>
      <c r="D17" s="499">
        <f>IF(ISNUMBER('Resol  Asuntos'!D17/NºAsuntos!G17),'Resol  Asuntos'!D17/NºAsuntos!G17," - ")</f>
        <v>0.14285714285714285</v>
      </c>
      <c r="E17" s="500">
        <f>IF(ISNUMBER((NºAsuntos!C17+NºAsuntos!E17)/NºAsuntos!G17),(NºAsuntos!C17+NºAsuntos!E17)/NºAsuntos!G17," - ")</f>
        <v>1.6339285714285714</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0.6470588235294118</v>
      </c>
      <c r="D18" s="499">
        <f>IF(ISNUMBER('Resol  Asuntos'!D18/NºAsuntos!G18),'Resol  Asuntos'!D18/NºAsuntos!G18," - ")</f>
        <v>0.11764705882352941</v>
      </c>
      <c r="E18" s="500">
        <f>IF(ISNUMBER((NºAsuntos!C18+NºAsuntos!E18)/NºAsuntos!G18),(NºAsuntos!C18+NºAsuntos!E18)/NºAsuntos!G18," - ")</f>
        <v>1.6470588235294117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0.85765124555160144</v>
      </c>
      <c r="C23" s="1156">
        <f>IF(ISNUMBER(NºAsuntos!I23/NºAsuntos!G23),NºAsuntos!I23/NºAsuntos!G23," - ")</f>
        <v>0.63485477178423233</v>
      </c>
      <c r="D23" s="1159">
        <f>IF(ISNUMBER('Resol  Asuntos'!D23/NºAsuntos!G23),'Resol  Asuntos'!D23/NºAsuntos!G23," - ")</f>
        <v>0.14107883817427386</v>
      </c>
      <c r="E23" s="1158">
        <f>IF(ISNUMBER((NºAsuntos!C23+NºAsuntos!E23)/NºAsuntos!G23),(NºAsuntos!C23+NºAsuntos!E23)/NºAsuntos!G23," - ")</f>
        <v>1.6348547717842323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0.78448275862068961</v>
      </c>
      <c r="C31" s="1099">
        <f>IF(ISNUMBER(NºAsuntos!I31/NºAsuntos!G31),NºAsuntos!I31/NºAsuntos!G31," - ")</f>
        <v>1.2912087912087913</v>
      </c>
      <c r="D31" s="1100">
        <f>IF(ISNUMBER('Resol  Asuntos'!D31/NºAsuntos!G31),'Resol  Asuntos'!D31/NºAsuntos!G31," - ")</f>
        <v>0.15659340659340659</v>
      </c>
      <c r="E31" s="1101">
        <f>IF(ISNUMBER((NºAsuntos!C31+NºAsuntos!E31)/NºAsuntos!G31),(NºAsuntos!C31+NºAsuntos!E31)/NºAsuntos!G31," - ")</f>
        <v>2.2912087912087911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NBGyEx1mfVI1z1Dli6ZDbYFkjqSepLl2+mUErLIeI9hZ50CEYbGMruIaEBd6Mu0FMLAeKVl3lRAA0lr0qU9tw==" saltValue="ttVJblZGumwN+CoEQj/c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BAEZA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0.67032967032967028</v>
      </c>
      <c r="AM12" s="284">
        <f>IF(ISNUMBER(((NºAsuntos!I12/NºAsuntos!G12)*11)/factor_trimestre),((NºAsuntos!I12/NºAsuntos!G12)*11)/factor_trimestre," - ")</f>
        <v>5.1475409836065573</v>
      </c>
      <c r="AN12" s="267">
        <f>IF(ISNUMBER('Resol  Asuntos'!D12/NºAsuntos!G12),'Resol  Asuntos'!D12/NºAsuntos!G12," - ")</f>
        <v>0.18852459016393441</v>
      </c>
      <c r="AO12" s="268">
        <f>IF(ISNUMBER((NºAsuntos!C12+NºAsuntos!E12)/NºAsuntos!G12),(NºAsuntos!C12+NºAsuntos!E12)/NºAsuntos!G12," - ")</f>
        <v>3.5737704918032787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47</v>
      </c>
      <c r="Y14" s="1165">
        <f t="shared" si="6"/>
        <v>48</v>
      </c>
      <c r="Z14" s="1165">
        <f t="shared" si="6"/>
        <v>0</v>
      </c>
      <c r="AA14" s="1165">
        <f t="shared" si="6"/>
        <v>3</v>
      </c>
      <c r="AB14" s="1165">
        <f t="shared" si="6"/>
        <v>176</v>
      </c>
      <c r="AC14" s="1165">
        <f t="shared" si="6"/>
        <v>3</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0.67213114754098358</v>
      </c>
      <c r="AM14" s="1171">
        <f>IF(ISNUMBER(((NºAsuntos!I14/NºAsuntos!G14)*11)/factor_trimestre),((NºAsuntos!I14/NºAsuntos!G14)*11)/factor_trimestre," - ")</f>
        <v>5.154471544715447</v>
      </c>
      <c r="AN14" s="1172">
        <f>IF(ISNUMBER('Resol  Asuntos'!D14/NºAsuntos!G14),'Resol  Asuntos'!D14/NºAsuntos!G14," - ")</f>
        <v>0.18699186991869918</v>
      </c>
      <c r="AO14" s="1173">
        <f>IF(ISNUMBER((NºAsuntos!C14+NºAsuntos!E14)/NºAsuntos!G14),(NºAsuntos!C14+NºAsuntos!E14)/NºAsuntos!G14," - ")</f>
        <v>3.5772357723577235</v>
      </c>
      <c r="AP14" s="1174" t="str">
        <f t="shared" si="2"/>
        <v xml:space="preserve"> - </v>
      </c>
      <c r="AQ14" s="1174">
        <f>IF(ISNUMBER((H14-W14+K14)/(F14)),(H14-W14+K14)/(F14)," - ")</f>
        <v>-0.33333333333333331</v>
      </c>
      <c r="AR14" s="1175">
        <f>IF(ISNUMBER((Datos!P14-Datos!Q14)/(Datos!R14-Datos!P14+Datos!Q14)),(Datos!P14-Datos!Q14)/(Datos!R14-Datos!P14+Datos!Q14)," - ")</f>
        <v>-5.8823529411764705E-2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103</v>
      </c>
      <c r="G17" s="373">
        <f>IF(ISNUMBER(IF(D_I="SI",Datos!I17,Datos!I17+Datos!AC17)),IF(D_I="SI",Datos!I17,Datos!I17+Datos!AC17)," - ")</f>
        <v>103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224</v>
      </c>
      <c r="X17" s="240">
        <f>IF(ISNUMBER(Datos!Q17),Datos!Q17," - ")</f>
        <v>7</v>
      </c>
      <c r="Y17" s="374">
        <f t="shared" ref="Y17:Y22" si="9">SUM(W17:X17)</f>
        <v>231</v>
      </c>
      <c r="Z17" s="375" t="str">
        <f>IF(ISNUMBER(Datos!CC17),Datos!CC17," - ")</f>
        <v xml:space="preserve"> - </v>
      </c>
      <c r="AA17" s="372">
        <f>IF(ISNUMBER(IF(D_I="SI",Datos!L17,Datos!L17+Datos!AF17)),IF(D_I="SI",Datos!L17,Datos!L17+Datos!AF17)," - ")</f>
        <v>142</v>
      </c>
      <c r="AB17" s="374">
        <f>IF(ISNUMBER(Datos!R17),Datos!R17," - ")</f>
        <v>31</v>
      </c>
      <c r="AC17" s="374">
        <f t="shared" si="8"/>
        <v>173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0.85171102661596954</v>
      </c>
      <c r="AM17" s="284">
        <f>IF(ISNUMBER(((NºAsuntos!I17/NºAsuntos!G17)*11)/factor_trimestre),((NºAsuntos!I17/NºAsuntos!G17)*11)/factor_trimestre," - ")</f>
        <v>1.2678571428571428</v>
      </c>
      <c r="AN17" s="267">
        <f>IF(ISNUMBER('Resol  Asuntos'!D17/NºAsuntos!G17),'Resol  Asuntos'!D17/NºAsuntos!G17," - ")</f>
        <v>0.14285714285714285</v>
      </c>
      <c r="AO17" s="268">
        <f>IF(ISNUMBER((NºAsuntos!C17+NºAsuntos!E17)/NºAsuntos!G17),(NºAsuntos!C17+NºAsuntos!E17)/NºAsuntos!G17," - ")</f>
        <v>1.6339285714285714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1</v>
      </c>
      <c r="Y18" s="374">
        <f t="shared" si="9"/>
        <v>18</v>
      </c>
      <c r="Z18" s="375" t="str">
        <f>IF(ISNUMBER(Datos!CC18),Datos!CC18," - ")</f>
        <v xml:space="preserve"> - </v>
      </c>
      <c r="AA18" s="372">
        <f>IF(ISNUMBER(Datos!L18),Datos!L18,"-")</f>
        <v>11</v>
      </c>
      <c r="AB18" s="374">
        <f>IF(ISNUMBER(Datos!R18),Datos!R18," - ")</f>
        <v>2</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1.2941176470588236</v>
      </c>
      <c r="AN18" s="267">
        <f>IF(ISNUMBER('Resol  Asuntos'!D18/NºAsuntos!G18),'Resol  Asuntos'!D18/NºAsuntos!G18," - ")</f>
        <v>0.11764705882352941</v>
      </c>
      <c r="AO18" s="268">
        <f>IF(ISNUMBER((NºAsuntos!C18+NºAsuntos!E18)/NºAsuntos!G18),(NºAsuntos!C18+NºAsuntos!E18)/NºAsuntos!G18," - ")</f>
        <v>1.6470588235294117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103</v>
      </c>
      <c r="G23" s="1163">
        <f>SUBTOTAL(9,G16:G22)</f>
        <v>113</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v>
      </c>
      <c r="X23" s="1164">
        <f t="shared" si="14"/>
        <v>8</v>
      </c>
      <c r="Y23" s="1165">
        <f t="shared" si="14"/>
        <v>249</v>
      </c>
      <c r="Z23" s="1165">
        <f t="shared" si="14"/>
        <v>0</v>
      </c>
      <c r="AA23" s="1165">
        <f t="shared" si="14"/>
        <v>153</v>
      </c>
      <c r="AB23" s="1165">
        <f t="shared" si="14"/>
        <v>33</v>
      </c>
      <c r="AC23" s="1165">
        <f t="shared" si="14"/>
        <v>186</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0.85765124555160144</v>
      </c>
      <c r="AM23" s="1171">
        <f>IF(ISNUMBER(((NºAsuntos!I23/NºAsuntos!G23)*11)/factor_trimestre),((NºAsuntos!I23/NºAsuntos!G23)*11)/factor_trimestre," - ")</f>
        <v>1.2697095435684647</v>
      </c>
      <c r="AN23" s="1172">
        <f>IF(ISNUMBER('Resol  Asuntos'!D23/NºAsuntos!G23),'Resol  Asuntos'!D23/NºAsuntos!G23," - ")</f>
        <v>0.14107883817427386</v>
      </c>
      <c r="AO23" s="1173">
        <f>IF(ISNUMBER((NºAsuntos!C23+NºAsuntos!E23)/NºAsuntos!G23),(NºAsuntos!C23+NºAsuntos!E23)/NºAsuntos!G23," - ")</f>
        <v>1.6348547717842323</v>
      </c>
      <c r="AP23" s="1174" t="str">
        <f t="shared" si="2"/>
        <v xml:space="preserve"> - </v>
      </c>
      <c r="AQ23" s="1174">
        <f>IF(ISNUMBER((H23-W23+K23)/(F23)),(H23-W23+K23)/(F23)," - ")</f>
        <v>-2.3398058252427183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106</v>
      </c>
      <c r="G31" s="1118">
        <f t="shared" si="20"/>
        <v>116</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v>
      </c>
      <c r="X31" s="1118">
        <f t="shared" si="21"/>
        <v>55</v>
      </c>
      <c r="Y31" s="1125">
        <f t="shared" si="21"/>
        <v>297</v>
      </c>
      <c r="Z31" s="1125">
        <f t="shared" si="21"/>
        <v>0</v>
      </c>
      <c r="AA31" s="1125">
        <f t="shared" si="21"/>
        <v>156</v>
      </c>
      <c r="AB31" s="1125">
        <f t="shared" si="21"/>
        <v>209</v>
      </c>
      <c r="AC31" s="1125">
        <f t="shared" si="21"/>
        <v>189</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0.78448275862068961</v>
      </c>
      <c r="AM31" s="1184">
        <f>IF(ISNUMBER(((NºAsuntos!I31/NºAsuntos!G31)*11)/factor_trimestre),((NºAsuntos!I31/NºAsuntos!G31)*11)/factor_trimestre," - ")</f>
        <v>2.5824175824175826</v>
      </c>
      <c r="AN31" s="1184">
        <f>IF(ISNUMBER('Resol  Asuntos'!D31/NºAsuntos!G31),'Resol  Asuntos'!D31/NºAsuntos!G31," - ")</f>
        <v>0.15659340659340659</v>
      </c>
      <c r="AO31" s="1185">
        <f>IF(ISNUMBER((NºAsuntos!C31+NºAsuntos!E31)/NºAsuntos!G31),(NºAsuntos!C31+NºAsuntos!E31)/NºAsuntos!G31," - ")</f>
        <v>2.2912087912087911</v>
      </c>
      <c r="AP31" s="1186" t="str">
        <f t="shared" si="2"/>
        <v xml:space="preserve"> - </v>
      </c>
      <c r="AQ31" s="1187">
        <f>IF(OR(ISNUMBER(FIND("01",Criterios!A8,1)),ISNUMBER(FIND("02",Criterios!A8,1)),ISNUMBER(FIND("03",Criterios!A8,1)),ISNUMBER(FIND("04",Criterios!A8,1))),(I31-W31+K31)/(F31-K31),(H31-W31+K31)/(F31-K31))</f>
        <v>-2.2830188679245285</v>
      </c>
      <c r="AR31" s="1188">
        <f>IF(ISNUMBER((Datos!P31-Datos!Q31)/(Datos!R31-Datos!P31+Datos!Q31)),(Datos!P31-Datos!Q31)/(Datos!R31-Datos!P31+Datos!Q31)," - ")</f>
        <v>-0.05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52.431542669147802</v>
      </c>
      <c r="G33" s="277">
        <f>IF(ISNUMBER(STDEV(G8:G30)),STDEV(G8:G30),"-")</f>
        <v>51.327148668869093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111.86513989536475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15.201033799430505</v>
      </c>
      <c r="AJ33" s="276">
        <f t="shared" si="25"/>
        <v>0</v>
      </c>
      <c r="AK33" s="278">
        <f t="shared" si="25"/>
        <v>0</v>
      </c>
      <c r="AL33" s="273">
        <f t="shared" si="25"/>
        <v>0.136825855910989</v>
      </c>
      <c r="AM33" s="274">
        <f t="shared" si="25"/>
        <v>2.2977885632417601</v>
      </c>
      <c r="AN33" s="274">
        <f t="shared" si="25"/>
        <v>6.9299986542616973E-2</v>
      </c>
      <c r="AO33" s="275">
        <f t="shared" si="25"/>
        <v>1.1488942816208796</v>
      </c>
      <c r="AP33" s="317" t="str">
        <f t="shared" si="25"/>
        <v>-</v>
      </c>
      <c r="AQ33" s="318">
        <f t="shared" si="25"/>
        <v>1.4187903052933961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hr0LuGygMtMOPtL0TKcpnRuiTeT2zVjd2dQnlktrBpEfRbNUQtpX1867y//mpiiJdMqcpXoJm1+cIh+gd1MUQ==" saltValue="qgsrUzhjlhYjouX1xqr3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BAEZA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0</v>
      </c>
      <c r="F10" s="393">
        <f>IF(ISNUMBER((Datos!K10-Datos!U10)/Datos!U10),(Datos!K10-Datos!U10)/Datos!U10," - ")</f>
        <v>0</v>
      </c>
      <c r="G10" s="394">
        <f>IF(ISNUMBER((Datos!L10-Datos!V10)/Datos!V10),(Datos!L10-Datos!V10)/Datos!V10," - ")</f>
        <v>2</v>
      </c>
      <c r="H10" s="244" t="str">
        <f>IF(ISNUMBER((Datos!M10-Datos!W10)/Datos!W10),(Datos!M10-Datos!W10)/Datos!W10," - ")</f>
        <v xml:space="preserve"> - </v>
      </c>
      <c r="I10" s="395">
        <f>IF(ISNUMBER((Tasas!C10-Datos!BE10)/Datos!BE10),(Tasas!C10-Datos!BE10)/Datos!BE10," - ")</f>
        <v>2</v>
      </c>
      <c r="J10" s="394" t="str">
        <f>IF(ISNUMBER((Tasas!D10-Datos!BF10)/Datos!BF10),(Tasas!D10-Datos!BF10)/Datos!BF10," - ")</f>
        <v xml:space="preserve"> - </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-0.3783783783783784</v>
      </c>
      <c r="I12" s="395">
        <f>IF(ISNUMBER((Tasas!C12-Datos!BE12)/Datos!BE12),(Tasas!C12-Datos!BE12)/Datos!BE12," - ")</f>
        <v>0.63885386016533563</v>
      </c>
      <c r="J12" s="394">
        <f>IF(ISNUMBER((Tasas!D12-Datos!BF12)/Datos!BF12),(Tasas!D12-Datos!BF12)/Datos!BF12," - ")</f>
        <v>-0.19742388758782206</v>
      </c>
      <c r="K12" s="396">
        <f>IF(ISNUMBER((Tasas!E12-Datos!BG12)/Datos!BG12),(Tasas!E12-Datos!BG12)/Datos!BG12," - ")</f>
        <v>0.39031802422634071</v>
      </c>
      <c r="M12" t="e">
        <f>IF(Monitorios="SI",Datos!CE12,0)</f>
        <v>#REF!</v>
      </c>
      <c r="N12" t="e">
        <f>IF(Monitorios="SI",Datos!CF12,0)</f>
        <v>#REF!</v>
      </c>
      <c r="O12" t="e">
        <f>IF(Monitorios="SI",Datos!CG12,0)</f>
        <v>#REF!</v>
      </c>
      <c r="P12" t="e">
        <f>IF(Monitorios="SI",Datos!CH12,0)</f>
        <v>#REF!</v>
      </c>
      <c r="Q12">
        <f>IF(J_V="SI",0,Datos!AG12)</f>
        <v>2</v>
      </c>
      <c r="R12">
        <f>IF(J_V="SI",0,Datos!AH12)</f>
        <v>18</v>
      </c>
      <c r="S12">
        <f>IF(J_V="SI",0,Datos!AI12)</f>
        <v>16</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-0.3783783783783784</v>
      </c>
      <c r="I14" s="402">
        <f>IF(ISNUMBER((Tasas!C14-Datos!BE14)/Datos!BE14),(Tasas!C14-Datos!BE14)/Datos!BE14," - ")</f>
        <v>0.64504411001556816</v>
      </c>
      <c r="J14" s="400">
        <f>IF(ISNUMBER((Tasas!D14-Datos!BF14)/Datos!BF14),(Tasas!D14-Datos!BF14)/Datos!BF14," - ")</f>
        <v>-0.19860627177700355</v>
      </c>
      <c r="K14" s="403">
        <f>IF(ISNUMBER((Tasas!E14-Datos!BG14)/Datos!BG14),(Tasas!E14-Datos!BG14)/Datos!BG14," - ")</f>
        <v>0.39372822299651555</v>
      </c>
      <c r="M14" t="e">
        <f>IF(Monitorios="SI",Datos!CE14,0)</f>
        <v>#REF!</v>
      </c>
      <c r="N14" t="e">
        <f>IF(Monitorios="SI",Datos!CF14,0)</f>
        <v>#REF!</v>
      </c>
      <c r="O14" t="e">
        <f>IF(Monitorios="SI",Datos!CG14,0)</f>
        <v>#REF!</v>
      </c>
      <c r="P14" t="e">
        <f>IF(Monitorios="SI",Datos!CH14,0)</f>
        <v>#REF!</v>
      </c>
      <c r="Q14">
        <f>IF(J_V="SI",0,Datos!AG14)</f>
        <v>2</v>
      </c>
      <c r="R14">
        <f>IF(J_V="SI",0,Datos!AH14)</f>
        <v>18</v>
      </c>
      <c r="S14">
        <f>IF(J_V="SI",0,Datos!AI14)</f>
        <v>16</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0.16888888888888889</v>
      </c>
      <c r="F17" s="393">
        <f>IF(ISNUMBER(
   IF(D_I="SI",(Datos!K17-Datos!U17)/Datos!U17,(Datos!K17+Datos!AE17-(Datos!U17+Datos!AM17))/(Datos!U17+Datos!AM17))
     ),IF(D_I="SI",(Datos!K17-Datos!U17)/Datos!U17,(Datos!K17+Datos!AE17-(Datos!U17+Datos!AM17))/(Datos!U17+Datos!AM17))," - ")</f>
        <v>2.2831050228310501E-2</v>
      </c>
      <c r="G17" s="394">
        <f>IF(ISNUMBER(
   IF(D_I="SI",(Datos!L17-Datos!V17)/Datos!V17,(Datos!L17+Datos!AF17-(Datos!V17+Datos!AN17))/(Datos!V17+Datos!AN17))
     ),IF(D_I="SI",(Datos!L17-Datos!V17)/Datos!V17,(Datos!L17+Datos!AF17-(Datos!V17+Datos!AN17))/(Datos!V17+Datos!AN17))," - ")</f>
        <v>0.29090909090909089</v>
      </c>
      <c r="H17" s="244">
        <f>IF(ISNUMBER((Datos!M17-Datos!W17)/Datos!W17),(Datos!M17-Datos!W17)/Datos!W17," - ")</f>
        <v>-0.13513513513513514</v>
      </c>
      <c r="I17" s="395">
        <f>IF(ISNUMBER((Tasas!C17-Datos!BE17)/Datos!BE17),(Tasas!C17-Datos!BE17)/Datos!BE17," - ")</f>
        <v>0.26209415584415585</v>
      </c>
      <c r="J17" s="394">
        <f>IF(ISNUMBER((Tasas!D17-Datos!BF17)/Datos!BF17),(Tasas!D17-Datos!BF17)/Datos!BF17," - ")</f>
        <v>-0.15444015444015444</v>
      </c>
      <c r="K17" s="396">
        <f>IF(ISNUMBER((Tasas!E17-Datos!BG17)/Datos!BG17),(Tasas!E17-Datos!BG17)/Datos!BG17," - ")</f>
        <v>9.094621080139377E-2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0.88888888888888884</v>
      </c>
      <c r="G18" s="394">
        <f>IF(ISNUMBER(
   IF(D_I="SI",(Datos!L18-Datos!V18)/Datos!V18,(Datos!L18+Datos!AF18-(Datos!V18+Datos!AN18))/(Datos!V18+Datos!AN18))
     ),IF(D_I="SI",(Datos!L18-Datos!V18)/Datos!V18,(Datos!L18+Datos!AF18-(Datos!V18+Datos!AN18))/(Datos!V18+Datos!AN18))," - ")</f>
        <v>1.2</v>
      </c>
      <c r="H18" s="244">
        <f>IF(ISNUMBER((Datos!M18-Datos!W18)/Datos!W18),(Datos!M18-Datos!W18)/Datos!W18," - ")</f>
        <v>-0.33333333333333331</v>
      </c>
      <c r="I18" s="395">
        <f>IF(ISNUMBER((Tasas!C18-Datos!BE18)/Datos!BE18),(Tasas!C18-Datos!BE18)/Datos!BE18," - ")</f>
        <v>0.16470588235294117</v>
      </c>
      <c r="J18" s="394">
        <f>IF(ISNUMBER((Tasas!D18-Datos!BF18)/Datos!BF18),(Tasas!D18-Datos!BF18)/Datos!BF18," - ")</f>
        <v>-0.6470588235294118</v>
      </c>
      <c r="K18" s="396">
        <f>IF(ISNUMBER((Tasas!E18-Datos!BG18)/Datos!BG18),(Tasas!E18-Datos!BG18)/Datos!BG18," - ")</f>
        <v>5.8823529411764636E-2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5.6074766355140186E-2</v>
      </c>
      <c r="E23" s="399">
        <f>IF(ISNUMBER(
   IF(D_I="SI",(Datos!J23-Datos!T23)/Datos!T23,(Datos!J23+Datos!AD23-(Datos!T23+Datos!AL23))/(Datos!T23+Datos!AL23))
     ),IF(D_I="SI",(Datos!J23-Datos!T23)/Datos!T23,(Datos!J23+Datos!AD23-(Datos!T23+Datos!AL23))/(Datos!T23+Datos!AL23))," - ")</f>
        <v>0.19574468085106383</v>
      </c>
      <c r="F23" s="399">
        <f>IF(ISNUMBER(
   IF(D_I="SI",(Datos!K23-Datos!U23)/Datos!U23,(Datos!K23+Datos!AE23-(Datos!U23+Datos!AM23))/(Datos!U23+Datos!AM23))
     ),IF(D_I="SI",(Datos!K23-Datos!U23)/Datos!U23,(Datos!K23+Datos!AE23-(Datos!U23+Datos!AM23))/(Datos!U23+Datos!AM23))," - ")</f>
        <v>5.701754385964912E-2</v>
      </c>
      <c r="G23" s="400">
        <f>IF(ISNUMBER(
   IF(D_I="SI",(Datos!L23-Datos!V23)/Datos!V23,(Datos!L23+Datos!AF23-(Datos!V23+Datos!AN23))/(Datos!V23+Datos!AN23))
     ),IF(D_I="SI",(Datos!L23-Datos!V23)/Datos!V23,(Datos!L23+Datos!AF23-(Datos!V23+Datos!AN23))/(Datos!V23+Datos!AN23))," - ")</f>
        <v>0.33043478260869563</v>
      </c>
      <c r="H23" s="401">
        <f>IF(ISNUMBER((Datos!M23-Datos!W23)/Datos!W23),(Datos!M23-Datos!W23)/Datos!W23," - ")</f>
        <v>-0.15</v>
      </c>
      <c r="I23" s="402">
        <f>IF(ISNUMBER((Tasas!C23-Datos!BE23)/Datos!BE23),(Tasas!C23-Datos!BE23)/Datos!BE23," - ")</f>
        <v>0.25866859101569539</v>
      </c>
      <c r="J23" s="400">
        <f>IF(ISNUMBER((Tasas!D23-Datos!BF23)/Datos!BF23),(Tasas!D23-Datos!BF23)/Datos!BF23," - ")</f>
        <v>-0.19585062240663897</v>
      </c>
      <c r="K23" s="403">
        <f>IF(ISNUMBER((Tasas!E23-Datos!BG23)/Datos!BG23),(Tasas!E23-Datos!BG23)/Datos!BG23," - ")</f>
        <v>8.9903181189488215E-2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3.6414565826330535E-2</v>
      </c>
      <c r="E31" s="409">
        <f>IF(ISNUMBER(
   IF(J_V="SI",(Datos!J31-Datos!T31)/Datos!T31,(Datos!J31+Datos!Z31-(Datos!T31+Datos!AH31))/(Datos!T31+Datos!AH31))
     ),IF(J_V="SI",(Datos!J31-Datos!T31)/Datos!T31,(Datos!J31+Datos!Z31-(Datos!T31+Datos!AH31))/(Datos!T31+Datos!AH31))," - ")</f>
        <v>0.25405405405405407</v>
      </c>
      <c r="F31" s="409">
        <f>IF(ISNUMBER(
   IF(J_V="SI",(Datos!K31-Datos!U31)/Datos!U31,(Datos!K31+Datos!AA31-(Datos!U31+Datos!AI31))/(Datos!U31+Datos!AI31))
     ),IF(J_V="SI",(Datos!K31-Datos!U31)/Datos!U31,(Datos!K31+Datos!AA31-(Datos!U31+Datos!AI31))/(Datos!U31+Datos!AI31))," - ")</f>
        <v>-3.7037037037037035E-2</v>
      </c>
      <c r="G31" s="410">
        <f>IF(ISNUMBER(
   IF(J_V="SI",(Datos!L31-Datos!V31)/Datos!V31,(Datos!L31+Datos!AB31-(Datos!V31+Datos!AJ31))/(Datos!V31+Datos!AJ31))
     ),IF(J_V="SI",(Datos!L31-Datos!V31)/Datos!V31,(Datos!L31+Datos!AB31-(Datos!V31+Datos!AJ31))/(Datos!V31+Datos!AJ31))," - ")</f>
        <v>0.34285714285714286</v>
      </c>
      <c r="H31" s="411">
        <f>IF(ISNUMBER((Datos!M31-Datos!W31)/Datos!W31),(Datos!M31-Datos!W31)/Datos!W31," - ")</f>
        <v>-0.25974025974025972</v>
      </c>
      <c r="I31" s="408">
        <f>IF(ISNUMBER((Tasas!C31-Datos!BE31)/Datos!BE31),(Tasas!C31-Datos!BE31)/Datos!BE31," - ")</f>
        <v>0.3945054945054946</v>
      </c>
      <c r="J31" s="409">
        <f>IF(ISNUMBER((Tasas!D31-Datos!BF31)/Datos!BF31),(Tasas!D31-Datos!BF31)/Datos!BF31," - ")</f>
        <v>-0.21076923076923074</v>
      </c>
      <c r="K31" s="410">
        <f>IF(ISNUMBER((Tasas!E31-Datos!BG31)/Datos!BG31),(Tasas!E31-Datos!BG31)/Datos!BG31," - ")</f>
        <v>0.19130250767114584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1.0151728003062406</v>
      </c>
      <c r="E33" s="303">
        <f t="shared" si="1"/>
        <v>0.35011740836958394</v>
      </c>
      <c r="F33" s="303">
        <f t="shared" si="1"/>
        <v>0.43177256212862736</v>
      </c>
      <c r="G33" s="304">
        <f t="shared" si="1"/>
        <v>0.8130494029297417</v>
      </c>
      <c r="H33" s="310">
        <f t="shared" si="1"/>
        <v>0.12243786821123885</v>
      </c>
      <c r="I33" s="302">
        <f t="shared" si="1"/>
        <v>0.6871635088251189</v>
      </c>
      <c r="J33" s="303">
        <f t="shared" si="1"/>
        <v>0.20676892919155465</v>
      </c>
      <c r="K33" s="304">
        <f t="shared" si="1"/>
        <v>0.35905733921918659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zVk5l151AJ/Rp0sDZDdctk95L/8sU34ag7Ljv6Y/ZSMH3aky122Xu1Q73/mLQJNCAB6TRqvNhdZZkK0Q2pP4g==" saltValue="ON/68O3T08XNqD3UTKBV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